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P:\Versicherung\Mitarbeiter VW\Berechnungstools\"/>
    </mc:Choice>
  </mc:AlternateContent>
  <xr:revisionPtr revIDLastSave="0" documentId="8_{CBDE6966-8F5B-4F29-8D26-A35B6EEEB0D8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</workbook>
</file>

<file path=xl/calcChain.xml><?xml version="1.0" encoding="utf-8"?>
<calcChain xmlns="http://schemas.openxmlformats.org/spreadsheetml/2006/main">
  <c r="AY35" i="1" l="1"/>
  <c r="AY29" i="1"/>
  <c r="AY23" i="1"/>
  <c r="AY17" i="1"/>
  <c r="AY11" i="1"/>
  <c r="AU35" i="1"/>
  <c r="AU29" i="1"/>
  <c r="AU23" i="1"/>
  <c r="AU17" i="1"/>
  <c r="AU11" i="1"/>
  <c r="AU5" i="1"/>
  <c r="AY5" i="1" s="1"/>
  <c r="AQ35" i="1"/>
  <c r="AQ29" i="1"/>
  <c r="AQ23" i="1"/>
  <c r="AQ17" i="1"/>
  <c r="AQ11" i="1"/>
  <c r="AM35" i="1"/>
  <c r="AM29" i="1"/>
  <c r="AM23" i="1"/>
  <c r="AM17" i="1"/>
  <c r="AM11" i="1"/>
  <c r="AM5" i="1"/>
  <c r="AQ5" i="1" s="1"/>
  <c r="AI35" i="1"/>
  <c r="AI29" i="1"/>
  <c r="AI23" i="1"/>
  <c r="AI17" i="1"/>
  <c r="AI11" i="1"/>
  <c r="AE35" i="1"/>
  <c r="AE29" i="1"/>
  <c r="AE23" i="1"/>
  <c r="AE17" i="1"/>
  <c r="AE11" i="1"/>
  <c r="AE5" i="1"/>
  <c r="AI5" i="1" s="1"/>
  <c r="AA35" i="1"/>
  <c r="AA29" i="1"/>
  <c r="AA23" i="1"/>
  <c r="AA17" i="1"/>
  <c r="AA11" i="1"/>
  <c r="W35" i="1"/>
  <c r="W29" i="1"/>
  <c r="W23" i="1"/>
  <c r="W17" i="1"/>
  <c r="W11" i="1"/>
  <c r="O35" i="1"/>
  <c r="S35" i="1" s="1"/>
  <c r="O29" i="1"/>
  <c r="O23" i="1"/>
  <c r="S23" i="1" s="1"/>
  <c r="O17" i="1"/>
  <c r="O11" i="1"/>
  <c r="S11" i="1" s="1"/>
  <c r="S29" i="1"/>
  <c r="S17" i="1"/>
  <c r="K11" i="1"/>
  <c r="W5" i="1"/>
  <c r="AA5" i="1" s="1"/>
  <c r="O5" i="1"/>
  <c r="S5" i="1" s="1"/>
  <c r="G35" i="1"/>
  <c r="K35" i="1" s="1"/>
  <c r="G29" i="1"/>
  <c r="K29" i="1" s="1"/>
  <c r="G23" i="1"/>
  <c r="K23" i="1" s="1"/>
  <c r="G17" i="1"/>
  <c r="K17" i="1" s="1"/>
  <c r="G11" i="1"/>
  <c r="G5" i="1"/>
  <c r="K5" i="1" s="1"/>
  <c r="C29" i="1" l="1"/>
  <c r="AV29" i="1" s="1"/>
  <c r="AW29" i="1" s="1"/>
  <c r="AX29" i="1"/>
  <c r="C5" i="1"/>
  <c r="AN29" i="1"/>
  <c r="AO29" i="1" s="1"/>
  <c r="AP29" i="1"/>
  <c r="AF29" i="1"/>
  <c r="AG29" i="1" s="1"/>
  <c r="AJ29" i="1" s="1"/>
  <c r="AH29" i="1"/>
  <c r="X29" i="1"/>
  <c r="Y29" i="1" s="1"/>
  <c r="AB29" i="1" s="1"/>
  <c r="AD29" i="1" s="1"/>
  <c r="AD31" i="1" s="1"/>
  <c r="Z29" i="1"/>
  <c r="F29" i="1"/>
  <c r="P29" i="1"/>
  <c r="Q29" i="1" s="1"/>
  <c r="T29" i="1" s="1"/>
  <c r="R29" i="1"/>
  <c r="F5" i="1"/>
  <c r="H29" i="1"/>
  <c r="I29" i="1" s="1"/>
  <c r="J29" i="1"/>
  <c r="C35" i="1"/>
  <c r="AV35" i="1" s="1"/>
  <c r="AW35" i="1" s="1"/>
  <c r="AZ35" i="1" s="1"/>
  <c r="AX35" i="1"/>
  <c r="AN35" i="1"/>
  <c r="AO35" i="1" s="1"/>
  <c r="AP35" i="1"/>
  <c r="AH35" i="1"/>
  <c r="X35" i="1"/>
  <c r="Y35" i="1" s="1"/>
  <c r="Z35" i="1"/>
  <c r="F35" i="1"/>
  <c r="P35" i="1"/>
  <c r="Q35" i="1" s="1"/>
  <c r="R35" i="1"/>
  <c r="J35" i="1"/>
  <c r="B41" i="2"/>
  <c r="AX23" i="1"/>
  <c r="AP23" i="1"/>
  <c r="AH23" i="1"/>
  <c r="Z23" i="1"/>
  <c r="C23" i="1"/>
  <c r="AF23" i="1" s="1"/>
  <c r="AG23" i="1" s="1"/>
  <c r="C17" i="1"/>
  <c r="C11" i="1"/>
  <c r="AV11" i="1" s="1"/>
  <c r="AW11" i="1" s="1"/>
  <c r="AV23" i="1"/>
  <c r="AW23" i="1" s="1"/>
  <c r="AZ23" i="1" s="1"/>
  <c r="AV17" i="1"/>
  <c r="AW17" i="1" s="1"/>
  <c r="AZ17" i="1" s="1"/>
  <c r="BA17" i="1" s="1"/>
  <c r="BA18" i="1" s="1"/>
  <c r="AN17" i="1"/>
  <c r="AO17" i="1" s="1"/>
  <c r="AN11" i="1"/>
  <c r="AO11" i="1" s="1"/>
  <c r="AF17" i="1"/>
  <c r="AF11" i="1"/>
  <c r="AG11" i="1" s="1"/>
  <c r="AJ11" i="1" s="1"/>
  <c r="AL11" i="1" s="1"/>
  <c r="AL14" i="1" s="1"/>
  <c r="X23" i="1"/>
  <c r="Y23" i="1" s="1"/>
  <c r="AB23" i="1" s="1"/>
  <c r="AD23" i="1" s="1"/>
  <c r="AD24" i="1" s="1"/>
  <c r="X17" i="1"/>
  <c r="X11" i="1"/>
  <c r="Y11" i="1" s="1"/>
  <c r="AB11" i="1" s="1"/>
  <c r="AC11" i="1" s="1"/>
  <c r="P23" i="1"/>
  <c r="Q23" i="1" s="1"/>
  <c r="P17" i="1"/>
  <c r="Q17" i="1" s="1"/>
  <c r="B42" i="2"/>
  <c r="F17" i="1"/>
  <c r="F23" i="1"/>
  <c r="F11" i="1"/>
  <c r="Z11" i="1"/>
  <c r="AX17" i="1"/>
  <c r="AP17" i="1"/>
  <c r="AH17" i="1"/>
  <c r="Z17" i="1"/>
  <c r="AX11" i="1"/>
  <c r="AH11" i="1"/>
  <c r="AP5" i="1"/>
  <c r="AX5" i="1"/>
  <c r="AP11" i="1"/>
  <c r="Y17" i="1"/>
  <c r="AG17" i="1"/>
  <c r="AE18" i="1"/>
  <c r="R11" i="1"/>
  <c r="J23" i="1"/>
  <c r="J17" i="1"/>
  <c r="J11" i="1"/>
  <c r="H11" i="1"/>
  <c r="I11" i="1" s="1"/>
  <c r="L11" i="1" s="1"/>
  <c r="H17" i="1"/>
  <c r="I17" i="1" s="1"/>
  <c r="L17" i="1" s="1"/>
  <c r="R5" i="1"/>
  <c r="R23" i="1"/>
  <c r="R17" i="1"/>
  <c r="AN23" i="1" l="1"/>
  <c r="AO23" i="1" s="1"/>
  <c r="AR23" i="1" s="1"/>
  <c r="H23" i="1"/>
  <c r="I23" i="1" s="1"/>
  <c r="P11" i="1"/>
  <c r="Q11" i="1" s="1"/>
  <c r="H35" i="1"/>
  <c r="I35" i="1" s="1"/>
  <c r="AF35" i="1"/>
  <c r="AG35" i="1" s="1"/>
  <c r="AJ35" i="1" s="1"/>
  <c r="AZ29" i="1"/>
  <c r="AZ11" i="1"/>
  <c r="BB11" i="1" s="1"/>
  <c r="AR35" i="1"/>
  <c r="AT35" i="1" s="1"/>
  <c r="AR29" i="1"/>
  <c r="AS29" i="1" s="1"/>
  <c r="AS32" i="1" s="1"/>
  <c r="AR17" i="1"/>
  <c r="AT17" i="1" s="1"/>
  <c r="AR11" i="1"/>
  <c r="AT11" i="1" s="1"/>
  <c r="AT14" i="1" s="1"/>
  <c r="AJ23" i="1"/>
  <c r="AL23" i="1" s="1"/>
  <c r="AL26" i="1" s="1"/>
  <c r="AJ17" i="1"/>
  <c r="AL17" i="1" s="1"/>
  <c r="AB17" i="1"/>
  <c r="AD17" i="1" s="1"/>
  <c r="AD19" i="1" s="1"/>
  <c r="AB35" i="1"/>
  <c r="AC35" i="1" s="1"/>
  <c r="T35" i="1"/>
  <c r="U35" i="1" s="1"/>
  <c r="T23" i="1"/>
  <c r="U23" i="1" s="1"/>
  <c r="U26" i="1" s="1"/>
  <c r="T17" i="1"/>
  <c r="V17" i="1" s="1"/>
  <c r="T11" i="1"/>
  <c r="V11" i="1" s="1"/>
  <c r="V12" i="1" s="1"/>
  <c r="AE19" i="1"/>
  <c r="AH5" i="1"/>
  <c r="AE20" i="1"/>
  <c r="L29" i="1"/>
  <c r="N29" i="1" s="1"/>
  <c r="L23" i="1"/>
  <c r="N23" i="1" s="1"/>
  <c r="N24" i="1" s="1"/>
  <c r="BB23" i="1"/>
  <c r="BA23" i="1"/>
  <c r="BA25" i="1" s="1"/>
  <c r="AS17" i="1"/>
  <c r="AS19" i="1" s="1"/>
  <c r="AT29" i="1"/>
  <c r="AT36" i="1" s="1"/>
  <c r="AK29" i="1"/>
  <c r="AK30" i="1" s="1"/>
  <c r="AL29" i="1"/>
  <c r="AL31" i="1" s="1"/>
  <c r="AD25" i="1"/>
  <c r="AD26" i="1"/>
  <c r="AB26" i="1"/>
  <c r="AV5" i="1"/>
  <c r="J5" i="1"/>
  <c r="W13" i="1"/>
  <c r="W12" i="1"/>
  <c r="Z5" i="1"/>
  <c r="W14" i="1"/>
  <c r="L35" i="1"/>
  <c r="N35" i="1" s="1"/>
  <c r="AF5" i="1"/>
  <c r="AG5" i="1" s="1"/>
  <c r="X5" i="1"/>
  <c r="X13" i="1" s="1"/>
  <c r="H5" i="1"/>
  <c r="I5" i="1" s="1"/>
  <c r="AN5" i="1"/>
  <c r="P5" i="1"/>
  <c r="Q5" i="1" s="1"/>
  <c r="T5" i="1" s="1"/>
  <c r="M29" i="1"/>
  <c r="M37" i="1" s="1"/>
  <c r="M11" i="1"/>
  <c r="N11" i="1"/>
  <c r="BA35" i="1"/>
  <c r="BB35" i="1"/>
  <c r="U29" i="1"/>
  <c r="U37" i="1" s="1"/>
  <c r="V29" i="1"/>
  <c r="BA19" i="1"/>
  <c r="BA20" i="1"/>
  <c r="AD11" i="1"/>
  <c r="AD14" i="1" s="1"/>
  <c r="AC23" i="1"/>
  <c r="AC13" i="1"/>
  <c r="AC12" i="1"/>
  <c r="AC14" i="1"/>
  <c r="AT23" i="1"/>
  <c r="AS23" i="1"/>
  <c r="V14" i="1"/>
  <c r="AL13" i="1"/>
  <c r="AL12" i="1"/>
  <c r="U11" i="1"/>
  <c r="N17" i="1"/>
  <c r="M17" i="1"/>
  <c r="AD37" i="1"/>
  <c r="AD30" i="1"/>
  <c r="AD38" i="1"/>
  <c r="AK11" i="1"/>
  <c r="AL35" i="1"/>
  <c r="AK35" i="1"/>
  <c r="BA29" i="1"/>
  <c r="BB29" i="1"/>
  <c r="AD18" i="1"/>
  <c r="AD36" i="1"/>
  <c r="AS31" i="1"/>
  <c r="AD20" i="1"/>
  <c r="AD32" i="1"/>
  <c r="AL32" i="1"/>
  <c r="BB17" i="1"/>
  <c r="AC17" i="1"/>
  <c r="AC29" i="1"/>
  <c r="AK38" i="1"/>
  <c r="N37" i="1" l="1"/>
  <c r="N36" i="1"/>
  <c r="V13" i="1"/>
  <c r="BA11" i="1"/>
  <c r="BA12" i="1" s="1"/>
  <c r="AS36" i="1"/>
  <c r="AK23" i="1"/>
  <c r="M23" i="1"/>
  <c r="M24" i="1" s="1"/>
  <c r="AK17" i="1"/>
  <c r="AK19" i="1" s="1"/>
  <c r="AT31" i="1"/>
  <c r="AS38" i="1"/>
  <c r="AJ5" i="1"/>
  <c r="AK5" i="1" s="1"/>
  <c r="AT32" i="1"/>
  <c r="AS37" i="1"/>
  <c r="AT20" i="1"/>
  <c r="AT19" i="1"/>
  <c r="AT18" i="1"/>
  <c r="AS18" i="1"/>
  <c r="AT13" i="1"/>
  <c r="AT12" i="1"/>
  <c r="AS11" i="1"/>
  <c r="AS12" i="1" s="1"/>
  <c r="AS35" i="1"/>
  <c r="AT37" i="1"/>
  <c r="AT30" i="1"/>
  <c r="AT38" i="1"/>
  <c r="AS30" i="1"/>
  <c r="AL30" i="1"/>
  <c r="AL37" i="1"/>
  <c r="AL36" i="1"/>
  <c r="AL38" i="1"/>
  <c r="AL24" i="1"/>
  <c r="AL25" i="1"/>
  <c r="AD35" i="1"/>
  <c r="V35" i="1"/>
  <c r="U17" i="1"/>
  <c r="V23" i="1"/>
  <c r="V24" i="1" s="1"/>
  <c r="U24" i="1"/>
  <c r="N38" i="1"/>
  <c r="N26" i="1"/>
  <c r="N25" i="1"/>
  <c r="L5" i="1"/>
  <c r="M5" i="1" s="1"/>
  <c r="M8" i="1" s="1"/>
  <c r="AS20" i="1"/>
  <c r="M36" i="1"/>
  <c r="U25" i="1"/>
  <c r="M35" i="1"/>
  <c r="BA26" i="1"/>
  <c r="BA24" i="1"/>
  <c r="BB24" i="1"/>
  <c r="BB25" i="1"/>
  <c r="BB26" i="1"/>
  <c r="AK37" i="1"/>
  <c r="AK31" i="1"/>
  <c r="AK36" i="1"/>
  <c r="AK32" i="1"/>
  <c r="M31" i="1"/>
  <c r="M30" i="1"/>
  <c r="M32" i="1"/>
  <c r="X14" i="1"/>
  <c r="Y5" i="1"/>
  <c r="AB5" i="1" s="1"/>
  <c r="AC5" i="1" s="1"/>
  <c r="AW5" i="1"/>
  <c r="AZ5" i="1" s="1"/>
  <c r="BA5" i="1" s="1"/>
  <c r="BA6" i="1" s="1"/>
  <c r="X12" i="1"/>
  <c r="M38" i="1"/>
  <c r="AF20" i="1"/>
  <c r="AF19" i="1"/>
  <c r="AF18" i="1"/>
  <c r="AO5" i="1"/>
  <c r="AR5" i="1" s="1"/>
  <c r="V37" i="1"/>
  <c r="V32" i="1"/>
  <c r="V30" i="1"/>
  <c r="U31" i="1"/>
  <c r="U30" i="1"/>
  <c r="U32" i="1"/>
  <c r="U36" i="1"/>
  <c r="M13" i="1"/>
  <c r="M14" i="1"/>
  <c r="M12" i="1"/>
  <c r="V38" i="1"/>
  <c r="U38" i="1"/>
  <c r="V36" i="1"/>
  <c r="V31" i="1"/>
  <c r="AD13" i="1"/>
  <c r="AD12" i="1"/>
  <c r="N12" i="1"/>
  <c r="N13" i="1"/>
  <c r="N14" i="1"/>
  <c r="AC24" i="1"/>
  <c r="AC26" i="1"/>
  <c r="AC25" i="1"/>
  <c r="N31" i="1"/>
  <c r="N32" i="1"/>
  <c r="N30" i="1"/>
  <c r="M25" i="1"/>
  <c r="AS13" i="1"/>
  <c r="AT26" i="1"/>
  <c r="AT25" i="1"/>
  <c r="AT24" i="1"/>
  <c r="AL20" i="1"/>
  <c r="AL18" i="1"/>
  <c r="AL19" i="1"/>
  <c r="BB19" i="1"/>
  <c r="BB18" i="1"/>
  <c r="BB20" i="1"/>
  <c r="N19" i="1"/>
  <c r="N18" i="1"/>
  <c r="N20" i="1"/>
  <c r="U12" i="1"/>
  <c r="U13" i="1"/>
  <c r="U14" i="1"/>
  <c r="BB14" i="1"/>
  <c r="BB13" i="1"/>
  <c r="BB12" i="1"/>
  <c r="AC20" i="1"/>
  <c r="AC19" i="1"/>
  <c r="AC18" i="1"/>
  <c r="BB37" i="1"/>
  <c r="BB38" i="1"/>
  <c r="BB31" i="1"/>
  <c r="BB36" i="1"/>
  <c r="BB32" i="1"/>
  <c r="BB30" i="1"/>
  <c r="V19" i="1"/>
  <c r="V18" i="1"/>
  <c r="V20" i="1"/>
  <c r="BA14" i="1"/>
  <c r="V5" i="1"/>
  <c r="U5" i="1"/>
  <c r="M19" i="1"/>
  <c r="M20" i="1"/>
  <c r="M18" i="1"/>
  <c r="AC30" i="1"/>
  <c r="AC37" i="1"/>
  <c r="AC32" i="1"/>
  <c r="AC38" i="1"/>
  <c r="AC31" i="1"/>
  <c r="AC36" i="1"/>
  <c r="AK26" i="1"/>
  <c r="AK25" i="1"/>
  <c r="AK24" i="1"/>
  <c r="BA38" i="1"/>
  <c r="BA37" i="1"/>
  <c r="BA36" i="1"/>
  <c r="BA31" i="1"/>
  <c r="BA32" i="1"/>
  <c r="BA30" i="1"/>
  <c r="AK13" i="1"/>
  <c r="AK14" i="1"/>
  <c r="AK12" i="1"/>
  <c r="U19" i="1"/>
  <c r="U20" i="1"/>
  <c r="U18" i="1"/>
  <c r="AS26" i="1"/>
  <c r="AS25" i="1"/>
  <c r="AS24" i="1"/>
  <c r="AK20" i="1"/>
  <c r="BA13" i="1" l="1"/>
  <c r="AL5" i="1"/>
  <c r="AK18" i="1"/>
  <c r="M26" i="1"/>
  <c r="V26" i="1"/>
  <c r="AS14" i="1"/>
  <c r="N5" i="1"/>
  <c r="N7" i="1" s="1"/>
  <c r="V25" i="1"/>
  <c r="M7" i="1"/>
  <c r="M6" i="1"/>
  <c r="N8" i="1"/>
  <c r="BA8" i="1"/>
  <c r="AD5" i="1"/>
  <c r="AD8" i="1" s="1"/>
  <c r="BA7" i="1"/>
  <c r="BB5" i="1"/>
  <c r="AT5" i="1"/>
  <c r="AS5" i="1"/>
  <c r="AC7" i="1"/>
  <c r="AC8" i="1"/>
  <c r="AC6" i="1"/>
  <c r="U6" i="1"/>
  <c r="U7" i="1"/>
  <c r="U8" i="1"/>
  <c r="AL6" i="1"/>
  <c r="AL8" i="1"/>
  <c r="AL7" i="1"/>
  <c r="V6" i="1"/>
  <c r="V7" i="1"/>
  <c r="V8" i="1"/>
  <c r="AK8" i="1"/>
  <c r="AK7" i="1"/>
  <c r="AK6" i="1"/>
  <c r="N6" i="1" l="1"/>
  <c r="AD7" i="1"/>
  <c r="AD6" i="1"/>
  <c r="BB8" i="1"/>
  <c r="BB6" i="1"/>
  <c r="BB7" i="1"/>
  <c r="AS8" i="1"/>
  <c r="AS6" i="1"/>
  <c r="AS7" i="1"/>
  <c r="AT8" i="1"/>
  <c r="AT6" i="1"/>
  <c r="AT7" i="1"/>
</calcChain>
</file>

<file path=xl/sharedStrings.xml><?xml version="1.0" encoding="utf-8"?>
<sst xmlns="http://schemas.openxmlformats.org/spreadsheetml/2006/main" count="317" uniqueCount="46">
  <si>
    <t>Berechnungsdatum</t>
  </si>
  <si>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</si>
  <si>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</si>
  <si>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</si>
  <si>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</si>
  <si>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</si>
  <si>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</si>
  <si>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Total Beitrag</t>
  </si>
  <si>
    <t>Name, Vorname</t>
  </si>
  <si>
    <t>Pensum</t>
  </si>
  <si>
    <t>Vers.Lohn</t>
  </si>
  <si>
    <t>Ansatz</t>
  </si>
  <si>
    <t>Geb.Datum</t>
  </si>
  <si>
    <t>Beitrag AN</t>
  </si>
  <si>
    <t>Beitrag AG</t>
  </si>
  <si>
    <t>BVG-Plan</t>
  </si>
  <si>
    <t>Kostenbeitrag</t>
  </si>
  <si>
    <t>BVG Plan</t>
  </si>
  <si>
    <t>BVG Plan 21</t>
  </si>
  <si>
    <t>BVG-Plan 21</t>
  </si>
  <si>
    <t>Vers. Lohn</t>
  </si>
  <si>
    <t>Verwaltungskosten</t>
  </si>
  <si>
    <t>AHV Plan</t>
  </si>
  <si>
    <t>AHV Plan 21</t>
  </si>
  <si>
    <t>Risikobeitrag</t>
  </si>
  <si>
    <t>Beitrg AN</t>
  </si>
  <si>
    <t>Spar Plan</t>
  </si>
  <si>
    <t>Spar Plan 21</t>
  </si>
  <si>
    <t>Mirarbeiter/in 1</t>
  </si>
  <si>
    <t>Mirarbeiter/in 2</t>
  </si>
  <si>
    <t>Mirarbeiter/in 3</t>
  </si>
  <si>
    <t>Mirarbeiter/in 4</t>
  </si>
  <si>
    <t>Mirarbeiter/in 5</t>
  </si>
  <si>
    <t>Bitte das Geburtsdatum, den Jahresbruttolohn und das Pensum erfassen</t>
  </si>
  <si>
    <t>Jahresbruttolohn</t>
  </si>
  <si>
    <t>Beiträge 50 / 50 (pro Monat)</t>
  </si>
  <si>
    <t>Beiträge 40 / 60 (pro Monat)</t>
  </si>
  <si>
    <t>Beiträge 30 / 70 (pro Monat)</t>
  </si>
  <si>
    <t>Max. AHV</t>
  </si>
  <si>
    <t>KA BVG</t>
  </si>
  <si>
    <t>Min.vers.Lohn</t>
  </si>
  <si>
    <t>Maximale AHV Rente</t>
  </si>
  <si>
    <t>Koordinatinsabzug</t>
  </si>
  <si>
    <t>min. verichsrter Lohn</t>
  </si>
  <si>
    <t>Eintrittsschwelle</t>
  </si>
  <si>
    <t>Eintr.schw.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</si>
</sst>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10" fontId="4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43" fontId="2" fillId="6" borderId="7" xfId="1" applyFont="1" applyFill="1" applyBorder="1"/>
    <xf numFmtId="10" fontId="2" fillId="6" borderId="7" xfId="0" applyNumberFormat="1" applyFont="1" applyFill="1" applyBorder="1"/>
    <xf numFmtId="43" fontId="2" fillId="6" borderId="8" xfId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43" fontId="2" fillId="8" borderId="4" xfId="1" applyFont="1" applyFill="1" applyBorder="1"/>
    <xf numFmtId="43" fontId="2" fillId="8" borderId="5" xfId="1" applyFont="1" applyFill="1" applyBorder="1"/>
    <xf numFmtId="43" fontId="2" fillId="6" borderId="6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7" xfId="1" applyFont="1" applyFill="1" applyBorder="1"/>
    <xf numFmtId="10" fontId="2" fillId="8" borderId="2" xfId="0" applyNumberFormat="1" applyFont="1" applyFill="1" applyBorder="1"/>
    <xf numFmtId="43" fontId="2" fillId="8" borderId="7" xfId="1" applyFont="1" applyFill="1" applyBorder="1"/>
    <xf numFmtId="10" fontId="2" fillId="8" borderId="7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1" xfId="1" applyFont="1" applyFill="1" applyBorder="1" applyAlignment="1">
      <alignment horizontal="center"/>
    </xf>
    <xf numFmtId="43" fontId="3" fillId="8" borderId="2" xfId="1" applyFont="1" applyFill="1" applyBorder="1" applyAlignment="1">
      <alignment horizontal="center"/>
    </xf>
    <xf numFmtId="43" fontId="3" fillId="8" borderId="3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7"/>
  <sheetViews>
    <sheetView tabSelected="1" zoomScale="115" zoomScaleNormal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46" sqref="D46"/>
    </sheetView>
  </sheetViews>
  <sheetFormatPr baseColWidth="10" defaultColWidth="11.42578125" defaultRowHeight="11.25" x14ac:dyDescent="0.2"/>
  <cols>
    <col min="1" max="1" width="47.42578125" style="4" customWidth="1"/>
    <col min="2" max="2" width="9.5703125" style="4" customWidth="1"/>
    <col min="3" max="3" width="8.7109375" style="4" hidden="1" customWidth="1"/>
    <col min="4" max="4" width="15.5703125" style="5" bestFit="1" customWidth="1"/>
    <col min="5" max="5" width="7.5703125" style="6" bestFit="1" customWidth="1"/>
    <col min="6" max="6" width="15.570312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10.42578125" style="7" bestFit="1" customWidth="1"/>
    <col min="13" max="13" width="9.28515625" style="7" bestFit="1" customWidth="1"/>
    <col min="14" max="14" width="9.42578125" style="7" customWidth="1"/>
    <col min="15" max="15" width="8.570312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10.42578125" style="11" bestFit="1" customWidth="1"/>
    <col min="21" max="21" width="9.28515625" style="11" customWidth="1"/>
    <col min="22" max="22" width="9.42578125" style="11" bestFit="1" customWidth="1"/>
    <col min="23" max="23" width="9.5703125" style="12" hidden="1" customWidth="1"/>
    <col min="24" max="24" width="13.285156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0.42578125" style="7" bestFit="1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0.42578125" style="1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3.28515625" style="8" hidden="1" customWidth="1"/>
    <col min="41" max="41" width="14.7109375" style="7" hidden="1" customWidth="1"/>
    <col min="42" max="42" width="10.5703125" style="7" hidden="1" customWidth="1"/>
    <col min="43" max="43" width="15.42578125" style="7" hidden="1" customWidth="1"/>
    <col min="44" max="44" width="10.42578125" style="7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0.42578125" style="1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16" t="s">
        <v>0</v>
      </c>
      <c r="B1" s="31">
        <v>45292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8"/>
      <c r="G3" s="28"/>
      <c r="H3" s="29"/>
      <c r="I3" s="28"/>
      <c r="J3" s="28"/>
      <c r="K3" s="28"/>
      <c r="L3" s="92" t="s">
        <v>15</v>
      </c>
      <c r="M3" s="93"/>
      <c r="N3" s="94"/>
      <c r="O3" s="68"/>
      <c r="P3" s="69"/>
      <c r="Q3" s="70"/>
      <c r="R3" s="70"/>
      <c r="S3" s="70"/>
      <c r="T3" s="95" t="s">
        <v>19</v>
      </c>
      <c r="U3" s="96"/>
      <c r="V3" s="97"/>
      <c r="W3" s="32"/>
      <c r="X3" s="32"/>
      <c r="Y3" s="32"/>
      <c r="Z3" s="32"/>
      <c r="AA3" s="32"/>
      <c r="AB3" s="92" t="s">
        <v>22</v>
      </c>
      <c r="AC3" s="93"/>
      <c r="AD3" s="94"/>
      <c r="AE3" s="68"/>
      <c r="AF3" s="69"/>
      <c r="AG3" s="70"/>
      <c r="AH3" s="70"/>
      <c r="AI3" s="70"/>
      <c r="AJ3" s="95" t="s">
        <v>23</v>
      </c>
      <c r="AK3" s="96"/>
      <c r="AL3" s="97"/>
      <c r="AM3" s="32"/>
      <c r="AN3" s="32"/>
      <c r="AO3" s="32"/>
      <c r="AP3" s="32"/>
      <c r="AQ3" s="32"/>
      <c r="AR3" s="92" t="s">
        <v>26</v>
      </c>
      <c r="AS3" s="93"/>
      <c r="AT3" s="94"/>
      <c r="AU3" s="68"/>
      <c r="AV3" s="69"/>
      <c r="AW3" s="70"/>
      <c r="AX3" s="70"/>
      <c r="AY3" s="70"/>
      <c r="AZ3" s="95" t="s">
        <v>27</v>
      </c>
      <c r="BA3" s="96"/>
      <c r="BB3" s="97"/>
    </row>
    <row r="4" spans="1:54" x14ac:dyDescent="0.2">
      <c r="A4" s="16" t="s">
        <v>8</v>
      </c>
      <c r="B4" s="16" t="s">
        <v>12</v>
      </c>
      <c r="C4" s="16" t="s">
        <v>1</v>
      </c>
      <c r="D4" s="17" t="s">
        <v>34</v>
      </c>
      <c r="E4" s="18" t="s">
        <v>9</v>
      </c>
      <c r="F4" s="27" t="s">
        <v>2</v>
      </c>
      <c r="G4" s="27" t="s">
        <v>10</v>
      </c>
      <c r="H4" s="30" t="s">
        <v>3</v>
      </c>
      <c r="I4" s="27" t="s">
        <v>4</v>
      </c>
      <c r="J4" s="27" t="s">
        <v>5</v>
      </c>
      <c r="K4" s="27" t="s">
        <v>6</v>
      </c>
      <c r="L4" s="82" t="s">
        <v>7</v>
      </c>
      <c r="M4" s="83" t="s">
        <v>13</v>
      </c>
      <c r="N4" s="84" t="s">
        <v>14</v>
      </c>
      <c r="O4" s="72" t="s">
        <v>10</v>
      </c>
      <c r="P4" s="86" t="s">
        <v>3</v>
      </c>
      <c r="Q4" s="87" t="s">
        <v>4</v>
      </c>
      <c r="R4" s="87" t="s">
        <v>5</v>
      </c>
      <c r="S4" s="87" t="s">
        <v>16</v>
      </c>
      <c r="T4" s="88" t="s">
        <v>7</v>
      </c>
      <c r="U4" s="89" t="s">
        <v>13</v>
      </c>
      <c r="V4" s="90" t="s">
        <v>14</v>
      </c>
      <c r="W4" s="83" t="s">
        <v>20</v>
      </c>
      <c r="X4" s="83" t="s">
        <v>3</v>
      </c>
      <c r="Y4" s="83" t="s">
        <v>4</v>
      </c>
      <c r="Z4" s="83" t="s">
        <v>24</v>
      </c>
      <c r="AA4" s="83" t="s">
        <v>21</v>
      </c>
      <c r="AB4" s="82" t="s">
        <v>7</v>
      </c>
      <c r="AC4" s="83" t="s">
        <v>13</v>
      </c>
      <c r="AD4" s="84" t="s">
        <v>14</v>
      </c>
      <c r="AE4" s="87" t="s">
        <v>10</v>
      </c>
      <c r="AF4" s="91" t="s">
        <v>3</v>
      </c>
      <c r="AG4" s="87" t="s">
        <v>4</v>
      </c>
      <c r="AH4" s="87" t="s">
        <v>24</v>
      </c>
      <c r="AI4" s="87" t="s">
        <v>21</v>
      </c>
      <c r="AJ4" s="88" t="s">
        <v>7</v>
      </c>
      <c r="AK4" s="89" t="s">
        <v>25</v>
      </c>
      <c r="AL4" s="90" t="s">
        <v>14</v>
      </c>
      <c r="AM4" s="83" t="s">
        <v>20</v>
      </c>
      <c r="AN4" s="83" t="s">
        <v>3</v>
      </c>
      <c r="AO4" s="83" t="s">
        <v>4</v>
      </c>
      <c r="AP4" s="83" t="s">
        <v>24</v>
      </c>
      <c r="AQ4" s="83" t="s">
        <v>21</v>
      </c>
      <c r="AR4" s="82" t="s">
        <v>7</v>
      </c>
      <c r="AS4" s="83" t="s">
        <v>13</v>
      </c>
      <c r="AT4" s="84" t="s">
        <v>14</v>
      </c>
      <c r="AU4" s="87" t="s">
        <v>10</v>
      </c>
      <c r="AV4" s="91" t="s">
        <v>3</v>
      </c>
      <c r="AW4" s="87" t="s">
        <v>4</v>
      </c>
      <c r="AX4" s="87" t="s">
        <v>24</v>
      </c>
      <c r="AY4" s="87" t="s">
        <v>21</v>
      </c>
      <c r="AZ4" s="88" t="s">
        <v>7</v>
      </c>
      <c r="BA4" s="89" t="s">
        <v>25</v>
      </c>
      <c r="BB4" s="90" t="s">
        <v>14</v>
      </c>
    </row>
    <row r="5" spans="1:54" x14ac:dyDescent="0.2">
      <c r="A5" s="19" t="s">
        <v>28</v>
      </c>
      <c r="B5" s="20">
        <v>36526</v>
      </c>
      <c r="C5" s="21">
        <f>YEAR($B$1)-YEAR(B5)</f>
        <v>24</v>
      </c>
      <c r="D5" s="22">
        <v>23000</v>
      </c>
      <c r="E5" s="23">
        <v>1</v>
      </c>
      <c r="F5" s="27">
        <f>'Skala AGS'!$B$42*E5</f>
        <v>25725</v>
      </c>
      <c r="G5" s="27">
        <f>IF($D5&lt;'Skala AGS'!$B$44,0,IF(+$D5-$F5&lt;'Skala AGS'!$B$43,'Skala AGS'!$B$43,+$D5-$F5))</f>
        <v>3675</v>
      </c>
      <c r="H5" s="30">
        <f>VLOOKUP($C5,'Skala AGS'!$A$2:'Skala AGS'!$B$6,2)</f>
        <v>0</v>
      </c>
      <c r="I5" s="27">
        <f>ROUND((G5*H5)/5,2)*5</f>
        <v>0</v>
      </c>
      <c r="J5" s="27">
        <f>ROUND((G5*2.6%)/5,2)*5</f>
        <v>95.55</v>
      </c>
      <c r="K5" s="27">
        <f>IF(G5=0,0,360)</f>
        <v>360</v>
      </c>
      <c r="L5" s="62">
        <f>+I5+J5+K5</f>
        <v>455.55</v>
      </c>
      <c r="M5" s="33">
        <f>ROUND((L5/2)/5,2)*5</f>
        <v>227.8</v>
      </c>
      <c r="N5" s="63">
        <f>ROUND((L5/2)/5,2)*5</f>
        <v>227.8</v>
      </c>
      <c r="O5" s="72">
        <f>IF($D5&lt;'Skala AGS'!$B$44,0,IF(+$D5-$F5&lt;'Skala AGS'!$B$43,'Skala AGS'!$B$43,+$D5-$F5))</f>
        <v>3675</v>
      </c>
      <c r="P5" s="67">
        <f>VLOOKUP($C5,'Skala AGS'!$A$9:'Skala AGS'!$B$13,2)</f>
        <v>7.0000000000000007E-2</v>
      </c>
      <c r="Q5" s="71">
        <f>ROUND((O5*P5)/5,2)*5</f>
        <v>257.25</v>
      </c>
      <c r="R5" s="81">
        <f>ROUND((O5*2.6%)/5,2)*5</f>
        <v>95.55</v>
      </c>
      <c r="S5" s="72">
        <f>IF(O5=0,0,360)</f>
        <v>360</v>
      </c>
      <c r="T5" s="65">
        <f>+Q5+R5+S5</f>
        <v>712.8</v>
      </c>
      <c r="U5" s="34">
        <f>ROUND((T5/2)/5,2)*5</f>
        <v>356.4</v>
      </c>
      <c r="V5" s="66">
        <f>ROUND((T5/2)/5,2)*5</f>
        <v>356.4</v>
      </c>
      <c r="W5" s="27">
        <f>IF($D5&lt;'Skala AGS'!$B$44,0,IF(+$D5&lt;'Skala AGS'!$B$43,'Skala AGS'!$B$43,+$D5))</f>
        <v>23000</v>
      </c>
      <c r="X5" s="30">
        <f>VLOOKUP($C5,'Skala AGS'!$A$15:'Skala AGS'!$B$19,2)</f>
        <v>0</v>
      </c>
      <c r="Y5" s="77">
        <f>ROUND((W5*X5)/5,2)*5</f>
        <v>0</v>
      </c>
      <c r="Z5" s="33">
        <f>ROUND((W5*2.6%)/5,2)*5</f>
        <v>598</v>
      </c>
      <c r="AA5" s="33">
        <f>IF(W5=0,0,360)</f>
        <v>360</v>
      </c>
      <c r="AB5" s="62">
        <f>+Y5+Z5+AA5</f>
        <v>958</v>
      </c>
      <c r="AC5" s="33">
        <f>ROUND((AB5/2)/5,2)*5</f>
        <v>479</v>
      </c>
      <c r="AD5" s="63">
        <f>ROUND((AB5/2)/5,2)*5</f>
        <v>479</v>
      </c>
      <c r="AE5" s="80">
        <f>IF($D5&lt;'Skala AGS'!$B$44,0,IF(+$D5&lt;'Skala AGS'!$B$43,'Skala AGS'!$B$43,+$D5))</f>
        <v>23000</v>
      </c>
      <c r="AF5" s="67">
        <f>VLOOKUP($C5,'Skala AGS'!$A$21:'Skala AGS'!$B$25,2)</f>
        <v>0.06</v>
      </c>
      <c r="AG5" s="81">
        <f>ROUND((AE5*AF5)/5,2)*5</f>
        <v>1380</v>
      </c>
      <c r="AH5" s="81">
        <f>ROUND((AE5*2.6%)/5,2)*5</f>
        <v>598</v>
      </c>
      <c r="AI5" s="81">
        <f>IF(AE5=0,0,360)</f>
        <v>360</v>
      </c>
      <c r="AJ5" s="65">
        <f>+AG5+AH5+AI5</f>
        <v>2338</v>
      </c>
      <c r="AK5" s="34">
        <f>ROUND((AJ5/2)/5,2)*5</f>
        <v>1169</v>
      </c>
      <c r="AL5" s="66">
        <f>ROUND((AJ5/2)/5,2)*5</f>
        <v>1169</v>
      </c>
      <c r="AM5" s="33">
        <f>IF($D5&lt;'Skala AGS'!$B$44,0,IF(+$D5&lt;'Skala AGS'!$B$43,'Skala AGS'!$B$43,+$D5))</f>
        <v>23000</v>
      </c>
      <c r="AN5" s="30">
        <f>VLOOKUP($C5,'Skala AGS'!$A$27:'Skala AGS'!$B$31,2)</f>
        <v>0</v>
      </c>
      <c r="AO5" s="33">
        <f>ROUND((AM5*AN5)/5,2)*5</f>
        <v>0</v>
      </c>
      <c r="AP5" s="33">
        <f>ROUND((AM5*2.6%)/5,2)*5</f>
        <v>598</v>
      </c>
      <c r="AQ5" s="33">
        <f>IF(AM5=0,0,360)</f>
        <v>360</v>
      </c>
      <c r="AR5" s="62">
        <f>+AO5+AP5+AQ5</f>
        <v>958</v>
      </c>
      <c r="AS5" s="33">
        <f>ROUND((AR5/2)/5,2)*5</f>
        <v>479</v>
      </c>
      <c r="AT5" s="63">
        <f>ROUND((AR5/2)/5,2)*5</f>
        <v>479</v>
      </c>
      <c r="AU5" s="80">
        <f>IF($D5&lt;'Skala AGS'!$B$44,0,IF(+$D5&lt;'Skala AGS'!$B$43,'Skala AGS'!$B$43,+$D5))</f>
        <v>23000</v>
      </c>
      <c r="AV5" s="67">
        <f>VLOOKUP($C5,'Skala AGS'!$A$33:'Skala AGS'!$B$37,2)</f>
        <v>0.11</v>
      </c>
      <c r="AW5" s="81">
        <f>ROUND((AU5*AV5)/5,2)*5</f>
        <v>2530</v>
      </c>
      <c r="AX5" s="81">
        <f>ROUND((AU5*2.6%)/5,2)*5</f>
        <v>598</v>
      </c>
      <c r="AY5" s="81">
        <f>IF(AU5=0,0,360)</f>
        <v>360</v>
      </c>
      <c r="AZ5" s="65">
        <f>+AW5+AX5+AY5</f>
        <v>3488</v>
      </c>
      <c r="BA5" s="34">
        <f>ROUND((AZ5/2)/5,2)*5</f>
        <v>1744</v>
      </c>
      <c r="BB5" s="66">
        <f>ROUND((AZ5/2)/5,2)*5</f>
        <v>1744</v>
      </c>
    </row>
    <row r="6" spans="1:54" x14ac:dyDescent="0.2">
      <c r="A6" s="35" t="s">
        <v>35</v>
      </c>
      <c r="B6" s="36"/>
      <c r="C6" s="37"/>
      <c r="D6" s="38"/>
      <c r="E6" s="39"/>
      <c r="F6" s="32"/>
      <c r="G6" s="32"/>
      <c r="H6" s="74"/>
      <c r="I6" s="32"/>
      <c r="J6" s="32"/>
      <c r="K6" s="32"/>
      <c r="L6" s="40"/>
      <c r="M6" s="38">
        <f>ROUND((M$5/12)/5,2)*5</f>
        <v>19</v>
      </c>
      <c r="N6" s="41">
        <f>ROUND((N$5/12)/5,2)*5</f>
        <v>19</v>
      </c>
      <c r="O6" s="72"/>
      <c r="P6" s="72"/>
      <c r="Q6" s="72"/>
      <c r="R6" s="72"/>
      <c r="S6" s="72"/>
      <c r="T6" s="40"/>
      <c r="U6" s="38">
        <f>ROUND((U$5/12)/5,2)*5</f>
        <v>29.700000000000003</v>
      </c>
      <c r="V6" s="41">
        <f>ROUND((V$5/12)/5,2)*5</f>
        <v>29.700000000000003</v>
      </c>
      <c r="W6" s="32"/>
      <c r="X6" s="32"/>
      <c r="Y6" s="32"/>
      <c r="Z6" s="32"/>
      <c r="AA6" s="32"/>
      <c r="AB6" s="40"/>
      <c r="AC6" s="38">
        <f>ROUND((AC$5/12)/5,2)*5</f>
        <v>39.900000000000006</v>
      </c>
      <c r="AD6" s="41">
        <f>ROUND((AD$5/12)/5,2)*5</f>
        <v>39.900000000000006</v>
      </c>
      <c r="AE6" s="72"/>
      <c r="AF6" s="72"/>
      <c r="AG6" s="72"/>
      <c r="AH6" s="72"/>
      <c r="AI6" s="72"/>
      <c r="AJ6" s="40"/>
      <c r="AK6" s="38">
        <f>ROUND((AK$5/12)/5,2)*5</f>
        <v>97.4</v>
      </c>
      <c r="AL6" s="41">
        <f>ROUND((AL$5/12)/5,2)*5</f>
        <v>97.4</v>
      </c>
      <c r="AM6" s="32"/>
      <c r="AN6" s="32"/>
      <c r="AO6" s="32"/>
      <c r="AP6" s="32"/>
      <c r="AQ6" s="32"/>
      <c r="AR6" s="40"/>
      <c r="AS6" s="38">
        <f>ROUND((AS$5/12)/5,2)*5</f>
        <v>39.900000000000006</v>
      </c>
      <c r="AT6" s="41">
        <f>ROUND((AT$5/12)/5,2)*5</f>
        <v>39.900000000000006</v>
      </c>
      <c r="AU6" s="72"/>
      <c r="AV6" s="72"/>
      <c r="AW6" s="72"/>
      <c r="AX6" s="72"/>
      <c r="AY6" s="72"/>
      <c r="AZ6" s="40"/>
      <c r="BA6" s="38">
        <f>ROUND((BA$5/12)/5,2)*5</f>
        <v>145.35</v>
      </c>
      <c r="BB6" s="41">
        <f>ROUND((BB$5/12)/5,2)*5</f>
        <v>145.35</v>
      </c>
    </row>
    <row r="7" spans="1:54" x14ac:dyDescent="0.2">
      <c r="A7" s="42" t="s">
        <v>36</v>
      </c>
      <c r="B7" s="43"/>
      <c r="C7" s="43"/>
      <c r="D7" s="44"/>
      <c r="E7" s="45"/>
      <c r="F7" s="32"/>
      <c r="G7" s="32"/>
      <c r="H7" s="74"/>
      <c r="I7" s="32"/>
      <c r="J7" s="32"/>
      <c r="K7" s="32"/>
      <c r="L7" s="46"/>
      <c r="M7" s="44">
        <f>ROUND((M$5/12/50*40)/5,2)*5</f>
        <v>15.2</v>
      </c>
      <c r="N7" s="47">
        <f>ROUND((N$5/12/50*60)/5,2)*5</f>
        <v>22.799999999999997</v>
      </c>
      <c r="O7" s="72"/>
      <c r="P7" s="72"/>
      <c r="Q7" s="72"/>
      <c r="R7" s="72"/>
      <c r="S7" s="72"/>
      <c r="T7" s="46"/>
      <c r="U7" s="44">
        <f>ROUND((U$5/12/50*40)/5,2)*5</f>
        <v>23.75</v>
      </c>
      <c r="V7" s="47">
        <f>ROUND((V$5/12/50*60)/5,2)*5</f>
        <v>35.65</v>
      </c>
      <c r="W7" s="32"/>
      <c r="X7" s="32"/>
      <c r="Y7" s="32"/>
      <c r="Z7" s="32"/>
      <c r="AA7" s="32"/>
      <c r="AB7" s="46"/>
      <c r="AC7" s="44">
        <f>ROUND((AC$5/12/50*40)/5,2)*5</f>
        <v>31.95</v>
      </c>
      <c r="AD7" s="47">
        <f>ROUND((AD$5/12/50*60)/5,2)*5</f>
        <v>47.9</v>
      </c>
      <c r="AE7" s="72"/>
      <c r="AF7" s="72"/>
      <c r="AG7" s="72"/>
      <c r="AH7" s="72"/>
      <c r="AI7" s="72"/>
      <c r="AJ7" s="46"/>
      <c r="AK7" s="44">
        <f>ROUND((AK$5/12/50*40)/5,2)*5</f>
        <v>77.95</v>
      </c>
      <c r="AL7" s="47">
        <f>ROUND((AL$5/12/50*60)/5,2)*5</f>
        <v>116.89999999999999</v>
      </c>
      <c r="AM7" s="32"/>
      <c r="AN7" s="32"/>
      <c r="AO7" s="32"/>
      <c r="AP7" s="32"/>
      <c r="AQ7" s="32"/>
      <c r="AR7" s="46"/>
      <c r="AS7" s="44">
        <f>ROUND((AS$5/12/50*40)/5,2)*5</f>
        <v>31.95</v>
      </c>
      <c r="AT7" s="47">
        <f>ROUND((AT$5/12/50*60)/5,2)*5</f>
        <v>47.9</v>
      </c>
      <c r="AU7" s="72"/>
      <c r="AV7" s="72"/>
      <c r="AW7" s="72"/>
      <c r="AX7" s="72"/>
      <c r="AY7" s="72"/>
      <c r="AZ7" s="46"/>
      <c r="BA7" s="44">
        <f>ROUND((BA$5/12/50*40)/5,2)*5</f>
        <v>116.25</v>
      </c>
      <c r="BB7" s="47">
        <f>ROUND((BB$5/12/50*60)/5,2)*5</f>
        <v>174.4</v>
      </c>
    </row>
    <row r="8" spans="1:54" x14ac:dyDescent="0.2">
      <c r="A8" s="48" t="s">
        <v>37</v>
      </c>
      <c r="B8" s="49"/>
      <c r="C8" s="49"/>
      <c r="D8" s="50"/>
      <c r="E8" s="51"/>
      <c r="F8" s="32"/>
      <c r="G8" s="32"/>
      <c r="H8" s="74"/>
      <c r="I8" s="32"/>
      <c r="J8" s="32"/>
      <c r="K8" s="32"/>
      <c r="L8" s="52"/>
      <c r="M8" s="50">
        <f>ROUND((M$5/12/50*30)/5,2)*5</f>
        <v>11.399999999999999</v>
      </c>
      <c r="N8" s="53">
        <f>ROUND((N$5/12/50*70)/5,2)*5</f>
        <v>26.6</v>
      </c>
      <c r="O8" s="72"/>
      <c r="P8" s="72"/>
      <c r="Q8" s="72"/>
      <c r="R8" s="72"/>
      <c r="S8" s="72"/>
      <c r="T8" s="52"/>
      <c r="U8" s="50">
        <f>ROUND((U$5/12/50*30)/5,2)*5</f>
        <v>17.8</v>
      </c>
      <c r="V8" s="53">
        <f>ROUND((V$5/12/50*70)/5,2)*5</f>
        <v>41.6</v>
      </c>
      <c r="W8" s="32"/>
      <c r="X8" s="32"/>
      <c r="Y8" s="32"/>
      <c r="Z8" s="32"/>
      <c r="AA8" s="32"/>
      <c r="AB8" s="52"/>
      <c r="AC8" s="50">
        <f>ROUND((AC$5/12/50*30)/5,2)*5</f>
        <v>23.95</v>
      </c>
      <c r="AD8" s="53">
        <f>ROUND((AD$5/12/50*70)/5,2)*5</f>
        <v>55.9</v>
      </c>
      <c r="AE8" s="72"/>
      <c r="AF8" s="72"/>
      <c r="AG8" s="72"/>
      <c r="AH8" s="72"/>
      <c r="AI8" s="72"/>
      <c r="AJ8" s="52"/>
      <c r="AK8" s="50">
        <f>ROUND((AK$5/12/50*30)/5,2)*5</f>
        <v>58.449999999999996</v>
      </c>
      <c r="AL8" s="53">
        <f>ROUND((AL$5/12/50*70)/5,2)*5</f>
        <v>136.4</v>
      </c>
      <c r="AM8" s="32"/>
      <c r="AN8" s="32"/>
      <c r="AO8" s="32"/>
      <c r="AP8" s="32"/>
      <c r="AQ8" s="32"/>
      <c r="AR8" s="52"/>
      <c r="AS8" s="50">
        <f>ROUND((AS$5/12/50*30)/5,2)*5</f>
        <v>23.95</v>
      </c>
      <c r="AT8" s="53">
        <f>ROUND((AT$5/12/50*70)/5,2)*5</f>
        <v>55.9</v>
      </c>
      <c r="AU8" s="72"/>
      <c r="AV8" s="72"/>
      <c r="AW8" s="72"/>
      <c r="AX8" s="72"/>
      <c r="AY8" s="72"/>
      <c r="AZ8" s="52"/>
      <c r="BA8" s="50">
        <f>ROUND((BA$5/12/50*30)/5,2)*5</f>
        <v>87.2</v>
      </c>
      <c r="BB8" s="53">
        <f>ROUND((BB$5/12/50*70)/5,2)*5</f>
        <v>203.45</v>
      </c>
    </row>
    <row r="9" spans="1:54" s="12" customFormat="1" x14ac:dyDescent="0.2">
      <c r="D9" s="7"/>
      <c r="E9" s="8"/>
      <c r="F9" s="27"/>
      <c r="G9" s="27"/>
      <c r="H9" s="30"/>
      <c r="I9" s="27"/>
      <c r="J9" s="27"/>
      <c r="K9" s="27"/>
      <c r="L9" s="59"/>
      <c r="M9" s="60"/>
      <c r="N9" s="61"/>
      <c r="O9" s="71"/>
      <c r="P9" s="71"/>
      <c r="Q9" s="71"/>
      <c r="R9" s="71"/>
      <c r="S9" s="71"/>
      <c r="T9" s="59"/>
      <c r="U9" s="60"/>
      <c r="V9" s="61"/>
      <c r="W9" s="27"/>
      <c r="X9" s="27"/>
      <c r="Y9" s="27"/>
      <c r="Z9" s="27"/>
      <c r="AA9" s="27"/>
      <c r="AB9" s="59"/>
      <c r="AC9" s="60"/>
      <c r="AD9" s="61"/>
      <c r="AE9" s="71"/>
      <c r="AF9" s="71"/>
      <c r="AG9" s="71"/>
      <c r="AH9" s="71"/>
      <c r="AI9" s="71"/>
      <c r="AJ9" s="59"/>
      <c r="AK9" s="60"/>
      <c r="AL9" s="61"/>
      <c r="AM9" s="27"/>
      <c r="AN9" s="27"/>
      <c r="AO9" s="27"/>
      <c r="AP9" s="27"/>
      <c r="AQ9" s="27"/>
      <c r="AR9" s="59"/>
      <c r="AS9" s="60"/>
      <c r="AT9" s="61"/>
      <c r="AU9" s="71"/>
      <c r="AV9" s="71"/>
      <c r="AW9" s="71"/>
      <c r="AX9" s="71"/>
      <c r="AY9" s="71"/>
      <c r="AZ9" s="59"/>
      <c r="BA9" s="60"/>
      <c r="BB9" s="61"/>
    </row>
    <row r="10" spans="1:54" x14ac:dyDescent="0.2">
      <c r="F10" s="27"/>
      <c r="G10" s="27"/>
      <c r="H10" s="30"/>
      <c r="I10" s="27"/>
      <c r="J10" s="27"/>
      <c r="K10" s="27"/>
      <c r="L10" s="82" t="s">
        <v>7</v>
      </c>
      <c r="M10" s="83" t="s">
        <v>13</v>
      </c>
      <c r="N10" s="84" t="s">
        <v>14</v>
      </c>
      <c r="O10" s="85" t="s">
        <v>10</v>
      </c>
      <c r="P10" s="86" t="s">
        <v>3</v>
      </c>
      <c r="Q10" s="87" t="s">
        <v>4</v>
      </c>
      <c r="R10" s="87" t="s">
        <v>5</v>
      </c>
      <c r="S10" s="87" t="s">
        <v>16</v>
      </c>
      <c r="T10" s="88" t="s">
        <v>7</v>
      </c>
      <c r="U10" s="89" t="s">
        <v>13</v>
      </c>
      <c r="V10" s="90" t="s">
        <v>14</v>
      </c>
      <c r="W10" s="83" t="s">
        <v>20</v>
      </c>
      <c r="X10" s="83" t="s">
        <v>3</v>
      </c>
      <c r="Y10" s="83" t="s">
        <v>4</v>
      </c>
      <c r="Z10" s="83" t="s">
        <v>24</v>
      </c>
      <c r="AA10" s="83" t="s">
        <v>21</v>
      </c>
      <c r="AB10" s="82" t="s">
        <v>7</v>
      </c>
      <c r="AC10" s="83" t="s">
        <v>13</v>
      </c>
      <c r="AD10" s="84" t="s">
        <v>14</v>
      </c>
      <c r="AE10" s="87" t="s">
        <v>10</v>
      </c>
      <c r="AF10" s="91" t="s">
        <v>3</v>
      </c>
      <c r="AG10" s="87" t="s">
        <v>4</v>
      </c>
      <c r="AH10" s="87" t="s">
        <v>24</v>
      </c>
      <c r="AI10" s="87" t="s">
        <v>21</v>
      </c>
      <c r="AJ10" s="88" t="s">
        <v>7</v>
      </c>
      <c r="AK10" s="89" t="s">
        <v>25</v>
      </c>
      <c r="AL10" s="90" t="s">
        <v>14</v>
      </c>
      <c r="AM10" s="83" t="s">
        <v>20</v>
      </c>
      <c r="AN10" s="83" t="s">
        <v>3</v>
      </c>
      <c r="AO10" s="83" t="s">
        <v>4</v>
      </c>
      <c r="AP10" s="83" t="s">
        <v>24</v>
      </c>
      <c r="AQ10" s="83" t="s">
        <v>21</v>
      </c>
      <c r="AR10" s="82" t="s">
        <v>7</v>
      </c>
      <c r="AS10" s="83" t="s">
        <v>13</v>
      </c>
      <c r="AT10" s="84" t="s">
        <v>14</v>
      </c>
      <c r="AU10" s="87" t="s">
        <v>10</v>
      </c>
      <c r="AV10" s="91" t="s">
        <v>3</v>
      </c>
      <c r="AW10" s="87" t="s">
        <v>4</v>
      </c>
      <c r="AX10" s="87" t="s">
        <v>24</v>
      </c>
      <c r="AY10" s="87" t="s">
        <v>21</v>
      </c>
      <c r="AZ10" s="88" t="s">
        <v>7</v>
      </c>
      <c r="BA10" s="89" t="s">
        <v>25</v>
      </c>
      <c r="BB10" s="90" t="s">
        <v>14</v>
      </c>
    </row>
    <row r="11" spans="1:54" x14ac:dyDescent="0.2">
      <c r="A11" s="19" t="s">
        <v>29</v>
      </c>
      <c r="B11" s="20">
        <v>31553</v>
      </c>
      <c r="C11" s="21">
        <f>YEAR($B$1)-YEAR(B11)</f>
        <v>38</v>
      </c>
      <c r="D11" s="22">
        <v>66000</v>
      </c>
      <c r="E11" s="23">
        <v>1</v>
      </c>
      <c r="F11" s="27">
        <f>'Skala AGS'!$B$42*E11</f>
        <v>25725</v>
      </c>
      <c r="G11" s="27">
        <f>IF($D11&lt;'Skala AGS'!$B$44,0,IF(+$D11-$F11&lt;'Skala AGS'!$B$43,'Skala AGS'!$B$43,+$D11-$F11))</f>
        <v>40275</v>
      </c>
      <c r="H11" s="30">
        <f>VLOOKUP($C11,'Skala AGS'!$A$2:'Skala AGS'!$B$6,2)</f>
        <v>0.1</v>
      </c>
      <c r="I11" s="27">
        <f>ROUND((G11*H11)/5,2)*5</f>
        <v>4027.5</v>
      </c>
      <c r="J11" s="27">
        <f>ROUND((G11*2.6%)/5,2)*5</f>
        <v>1047.1500000000001</v>
      </c>
      <c r="K11" s="27">
        <f>IF(G11=0,0,360)</f>
        <v>360</v>
      </c>
      <c r="L11" s="62">
        <f>+I11+J11+K11</f>
        <v>5434.65</v>
      </c>
      <c r="M11" s="33">
        <f>ROUND((L11/2)/5,2)*5</f>
        <v>2717.3500000000004</v>
      </c>
      <c r="N11" s="63">
        <f>ROUND((L11/2)/5,2)*5</f>
        <v>2717.3500000000004</v>
      </c>
      <c r="O11" s="72">
        <f>IF($D11&lt;'Skala AGS'!$B$44,0,IF(+$D11-$F11&lt;'Skala AGS'!$B$43,'Skala AGS'!$B$43,+$D11-$F11))</f>
        <v>40275</v>
      </c>
      <c r="P11" s="67">
        <f>VLOOKUP($C11,'Skala AGS'!$A$9:'Skala AGS'!$B$13,2)</f>
        <v>0.1</v>
      </c>
      <c r="Q11" s="71">
        <f>ROUND((O11*P11)/5,2)*5</f>
        <v>4027.5</v>
      </c>
      <c r="R11" s="71">
        <f>ROUND((O11*2.6%)/5,2)*5</f>
        <v>1047.1500000000001</v>
      </c>
      <c r="S11" s="72">
        <f>IF(O11=0,0,360)</f>
        <v>360</v>
      </c>
      <c r="T11" s="65">
        <f>+Q11+R11+S11</f>
        <v>5434.65</v>
      </c>
      <c r="U11" s="34">
        <f>ROUND((T11/2)/5,2)*5</f>
        <v>2717.3500000000004</v>
      </c>
      <c r="V11" s="66">
        <f>ROUND((T11/2)/5,2)*5</f>
        <v>2717.3500000000004</v>
      </c>
      <c r="W11" s="27">
        <f>IF($D11&lt;'Skala AGS'!$B$44,0,IF(+$D11&lt;'Skala AGS'!$B$43,'Skala AGS'!$B$43,+$D11))</f>
        <v>66000</v>
      </c>
      <c r="X11" s="30">
        <f>VLOOKUP($C11,'Skala AGS'!$A$15:'Skala AGS'!$B$19,2)</f>
        <v>0.08</v>
      </c>
      <c r="Y11" s="77">
        <f>ROUND((W11*X11)/5,2)*5</f>
        <v>5280</v>
      </c>
      <c r="Z11" s="27">
        <f>ROUND((W11*2.6%)/5,2)*5</f>
        <v>1716</v>
      </c>
      <c r="AA11" s="33">
        <f>IF(W11=0,0,360)</f>
        <v>360</v>
      </c>
      <c r="AB11" s="62">
        <f>+Y11+Z11+AA11</f>
        <v>7356</v>
      </c>
      <c r="AC11" s="33">
        <f>ROUND((AB11/2)/5,2)*5</f>
        <v>3678</v>
      </c>
      <c r="AD11" s="63">
        <f>ROUND((AB11/2)/5,2)*5</f>
        <v>3678</v>
      </c>
      <c r="AE11" s="80">
        <f>IF($D11&lt;'Skala AGS'!$B$44,0,IF(+$D11&lt;'Skala AGS'!$B$43,'Skala AGS'!$B$43,+$D11))</f>
        <v>66000</v>
      </c>
      <c r="AF11" s="67">
        <f>VLOOKUP($C11,'Skala AGS'!$A$21:'Skala AGS'!$B$25,2)</f>
        <v>0.08</v>
      </c>
      <c r="AG11" s="71">
        <f>ROUND((AE11*AF11)/5,2)*5</f>
        <v>5280</v>
      </c>
      <c r="AH11" s="71">
        <f>ROUND((AE11*2.6%)/5,2)*5</f>
        <v>1716</v>
      </c>
      <c r="AI11" s="81">
        <f>IF(AE11=0,0,360)</f>
        <v>360</v>
      </c>
      <c r="AJ11" s="65">
        <f>+AG11+AH11+AI11</f>
        <v>7356</v>
      </c>
      <c r="AK11" s="34">
        <f>ROUND((AJ11/2)/5,2)*5</f>
        <v>3678</v>
      </c>
      <c r="AL11" s="66">
        <f>ROUND((AJ11/2)/5,2)*5</f>
        <v>3678</v>
      </c>
      <c r="AM11" s="33">
        <f>IF($D11&lt;'Skala AGS'!$B$44,0,IF(+$D11&lt;'Skala AGS'!$B$43,'Skala AGS'!$B$43,+$D11))</f>
        <v>66000</v>
      </c>
      <c r="AN11" s="30">
        <f>VLOOKUP($C11,'Skala AGS'!$A$27:'Skala AGS'!$B$31,2)</f>
        <v>0.13</v>
      </c>
      <c r="AO11" s="27">
        <f>ROUND((AM11*AN11)/5,2)*5</f>
        <v>8580</v>
      </c>
      <c r="AP11" s="27">
        <f>ROUND((AM11*2.6%)/5,2)*5</f>
        <v>1716</v>
      </c>
      <c r="AQ11" s="33">
        <f>IF(AM11=0,0,360)</f>
        <v>360</v>
      </c>
      <c r="AR11" s="62">
        <f>+AO11+AP11+AQ11</f>
        <v>10656</v>
      </c>
      <c r="AS11" s="33">
        <f>ROUND((AR11/2)/5,2)*5</f>
        <v>5328</v>
      </c>
      <c r="AT11" s="63">
        <f>ROUND((AR11/2)/5,2)*5</f>
        <v>5328</v>
      </c>
      <c r="AU11" s="80">
        <f>IF($D11&lt;'Skala AGS'!$B$44,0,IF(+$D11&lt;'Skala AGS'!$B$43,'Skala AGS'!$B$43,+$D11))</f>
        <v>66000</v>
      </c>
      <c r="AV11" s="67">
        <f>VLOOKUP($C11,'Skala AGS'!$A$33:'Skala AGS'!$B$37,2)</f>
        <v>0.13</v>
      </c>
      <c r="AW11" s="71">
        <f>ROUND((AU11*AV11)/5,2)*5</f>
        <v>8580</v>
      </c>
      <c r="AX11" s="71">
        <f>ROUND((AU11*2.6%)/5,2)*5</f>
        <v>1716</v>
      </c>
      <c r="AY11" s="81">
        <f>IF(AU11=0,0,360)</f>
        <v>360</v>
      </c>
      <c r="AZ11" s="65">
        <f>+AW11+AX11+AY11</f>
        <v>10656</v>
      </c>
      <c r="BA11" s="34">
        <f>ROUND((AZ11/2)/5,2)*5</f>
        <v>5328</v>
      </c>
      <c r="BB11" s="66">
        <f>ROUND((AZ11/2)/5,2)*5</f>
        <v>5328</v>
      </c>
    </row>
    <row r="12" spans="1:54" x14ac:dyDescent="0.2">
      <c r="A12" s="35" t="s">
        <v>35</v>
      </c>
      <c r="B12" s="36"/>
      <c r="C12" s="37"/>
      <c r="D12" s="38"/>
      <c r="E12" s="39"/>
      <c r="F12" s="32"/>
      <c r="G12" s="32"/>
      <c r="H12" s="74"/>
      <c r="I12" s="32"/>
      <c r="J12" s="32"/>
      <c r="K12" s="32"/>
      <c r="L12" s="40"/>
      <c r="M12" s="38">
        <f>ROUND((M$11/12)/5,2)*5</f>
        <v>226.45</v>
      </c>
      <c r="N12" s="41">
        <f>ROUND((N$11/12)/5,2)*5</f>
        <v>226.45</v>
      </c>
      <c r="O12" s="72"/>
      <c r="P12" s="72"/>
      <c r="Q12" s="72"/>
      <c r="R12" s="72"/>
      <c r="S12" s="72"/>
      <c r="T12" s="40"/>
      <c r="U12" s="38">
        <f>ROUND((U$11/12)/5,2)*5</f>
        <v>226.45</v>
      </c>
      <c r="V12" s="41">
        <f>ROUND((V$11/12)/5,2)*5</f>
        <v>226.45</v>
      </c>
      <c r="W12" s="32">
        <f t="shared" ref="W12:X12" si="0">ROUND((W$5/12)/5,2)*5</f>
        <v>1916.6499999999999</v>
      </c>
      <c r="X12" s="32">
        <f t="shared" si="0"/>
        <v>0</v>
      </c>
      <c r="Y12" s="32"/>
      <c r="Z12" s="32"/>
      <c r="AA12" s="32"/>
      <c r="AB12" s="40"/>
      <c r="AC12" s="38">
        <f>ROUND((AC$11/12)/5,2)*5</f>
        <v>306.5</v>
      </c>
      <c r="AD12" s="41">
        <f>ROUND((AD$11/12)/5,2)*5</f>
        <v>306.5</v>
      </c>
      <c r="AE12" s="72"/>
      <c r="AF12" s="72"/>
      <c r="AG12" s="72"/>
      <c r="AH12" s="72"/>
      <c r="AI12" s="72"/>
      <c r="AJ12" s="40"/>
      <c r="AK12" s="38">
        <f>ROUND((AK$11/12)/5,2)*5</f>
        <v>306.5</v>
      </c>
      <c r="AL12" s="41">
        <f>ROUND((AL$11/12)/5,2)*5</f>
        <v>306.5</v>
      </c>
      <c r="AM12" s="32"/>
      <c r="AN12" s="32"/>
      <c r="AO12" s="32"/>
      <c r="AP12" s="32"/>
      <c r="AQ12" s="32"/>
      <c r="AR12" s="40"/>
      <c r="AS12" s="38">
        <f>ROUND((AS$11/12)/5,2)*5</f>
        <v>444</v>
      </c>
      <c r="AT12" s="41">
        <f>ROUND((AT$11/12)/5,2)*5</f>
        <v>444</v>
      </c>
      <c r="AU12" s="72"/>
      <c r="AV12" s="72"/>
      <c r="AW12" s="72"/>
      <c r="AX12" s="72"/>
      <c r="AY12" s="72"/>
      <c r="AZ12" s="40"/>
      <c r="BA12" s="38">
        <f>ROUND((BA$11/12)/5,2)*5</f>
        <v>444</v>
      </c>
      <c r="BB12" s="41">
        <f>ROUND((BB$11/12)/5,2)*5</f>
        <v>444</v>
      </c>
    </row>
    <row r="13" spans="1:54" x14ac:dyDescent="0.2">
      <c r="A13" s="42" t="s">
        <v>36</v>
      </c>
      <c r="B13" s="43"/>
      <c r="C13" s="43"/>
      <c r="D13" s="44"/>
      <c r="E13" s="45"/>
      <c r="F13" s="32"/>
      <c r="G13" s="32"/>
      <c r="H13" s="74"/>
      <c r="I13" s="32"/>
      <c r="J13" s="32"/>
      <c r="K13" s="32"/>
      <c r="L13" s="46"/>
      <c r="M13" s="44">
        <f>ROUND((M$11/12/50*40)/5,2)*5</f>
        <v>181.14999999999998</v>
      </c>
      <c r="N13" s="47">
        <f>ROUND((N$11/12/50*60)/5,2)*5</f>
        <v>271.75</v>
      </c>
      <c r="O13" s="72"/>
      <c r="P13" s="72"/>
      <c r="Q13" s="72"/>
      <c r="R13" s="72"/>
      <c r="S13" s="72"/>
      <c r="T13" s="46"/>
      <c r="U13" s="44">
        <f>ROUND((U$11/12/50*40)/5,2)*5</f>
        <v>181.14999999999998</v>
      </c>
      <c r="V13" s="47">
        <f>ROUND((V$11/12/50*60)/5,2)*5</f>
        <v>271.75</v>
      </c>
      <c r="W13" s="32">
        <f t="shared" ref="W13:X13" si="1">ROUND((W$5/12/50*40)/5,2)*5</f>
        <v>1533.3500000000001</v>
      </c>
      <c r="X13" s="32">
        <f t="shared" si="1"/>
        <v>0</v>
      </c>
      <c r="Y13" s="32"/>
      <c r="Z13" s="32"/>
      <c r="AA13" s="32"/>
      <c r="AB13" s="46"/>
      <c r="AC13" s="44">
        <f>ROUND((AC$11/12/50*40)/5,2)*5</f>
        <v>245.2</v>
      </c>
      <c r="AD13" s="47">
        <f>ROUND((AD$11/12/50*60)/5,2)*5</f>
        <v>367.8</v>
      </c>
      <c r="AE13" s="72"/>
      <c r="AF13" s="72"/>
      <c r="AG13" s="72"/>
      <c r="AH13" s="72"/>
      <c r="AI13" s="72"/>
      <c r="AJ13" s="46"/>
      <c r="AK13" s="44">
        <f>ROUND((AK$11/12/50*40)/5,2)*5</f>
        <v>245.2</v>
      </c>
      <c r="AL13" s="47">
        <f>ROUND((AL$11/12/50*60)/5,2)*5</f>
        <v>367.8</v>
      </c>
      <c r="AM13" s="32"/>
      <c r="AN13" s="32"/>
      <c r="AO13" s="32"/>
      <c r="AP13" s="32"/>
      <c r="AQ13" s="32"/>
      <c r="AR13" s="46"/>
      <c r="AS13" s="44">
        <f>ROUND((AS$11/12/50*40)/5,2)*5</f>
        <v>355.20000000000005</v>
      </c>
      <c r="AT13" s="47">
        <f>ROUND((AT$11/12/50*60)/5,2)*5</f>
        <v>532.79999999999995</v>
      </c>
      <c r="AU13" s="72"/>
      <c r="AV13" s="72"/>
      <c r="AW13" s="72"/>
      <c r="AX13" s="72"/>
      <c r="AY13" s="72"/>
      <c r="AZ13" s="46"/>
      <c r="BA13" s="44">
        <f>ROUND((BA$11/12/50*40)/5,2)*5</f>
        <v>355.20000000000005</v>
      </c>
      <c r="BB13" s="47">
        <f>ROUND((BB$11/12/50*60)/5,2)*5</f>
        <v>532.79999999999995</v>
      </c>
    </row>
    <row r="14" spans="1:54" x14ac:dyDescent="0.2">
      <c r="A14" s="48" t="s">
        <v>37</v>
      </c>
      <c r="B14" s="49"/>
      <c r="C14" s="49"/>
      <c r="D14" s="50"/>
      <c r="E14" s="51"/>
      <c r="F14" s="32"/>
      <c r="G14" s="32"/>
      <c r="H14" s="74"/>
      <c r="I14" s="32"/>
      <c r="J14" s="32"/>
      <c r="K14" s="32"/>
      <c r="L14" s="52"/>
      <c r="M14" s="50">
        <f>ROUND((M$11/12/50*30)/5,2)*5</f>
        <v>135.85000000000002</v>
      </c>
      <c r="N14" s="53">
        <f>ROUND((N$11/12/50*70)/5,2)*5</f>
        <v>317</v>
      </c>
      <c r="O14" s="72"/>
      <c r="P14" s="72"/>
      <c r="Q14" s="72"/>
      <c r="R14" s="72"/>
      <c r="S14" s="72"/>
      <c r="T14" s="52"/>
      <c r="U14" s="50">
        <f>ROUND((U$11/12/50*30)/5,2)*5</f>
        <v>135.85000000000002</v>
      </c>
      <c r="V14" s="53">
        <f>ROUND((V$11/12/50*70)/5,2)*5</f>
        <v>317</v>
      </c>
      <c r="W14" s="32">
        <f t="shared" ref="W14:X14" si="2">ROUND((W$5/12/50*30)/5,2)*5</f>
        <v>1150</v>
      </c>
      <c r="X14" s="32">
        <f t="shared" si="2"/>
        <v>0</v>
      </c>
      <c r="Y14" s="32"/>
      <c r="Z14" s="32"/>
      <c r="AA14" s="32"/>
      <c r="AB14" s="52"/>
      <c r="AC14" s="50">
        <f>ROUND((AC$11/12/50*30)/5,2)*5</f>
        <v>183.9</v>
      </c>
      <c r="AD14" s="53">
        <f>ROUND((AD$11/12/50*70)/5,2)*5</f>
        <v>429.09999999999997</v>
      </c>
      <c r="AE14" s="72"/>
      <c r="AF14" s="72"/>
      <c r="AG14" s="72"/>
      <c r="AH14" s="72"/>
      <c r="AI14" s="72"/>
      <c r="AJ14" s="52"/>
      <c r="AK14" s="50">
        <f>ROUND((AK$11/12/50*30)/5,2)*5</f>
        <v>183.9</v>
      </c>
      <c r="AL14" s="53">
        <f>ROUND((AL$11/12/50*70)/5,2)*5</f>
        <v>429.09999999999997</v>
      </c>
      <c r="AM14" s="32"/>
      <c r="AN14" s="32"/>
      <c r="AO14" s="32"/>
      <c r="AP14" s="32"/>
      <c r="AQ14" s="32"/>
      <c r="AR14" s="52"/>
      <c r="AS14" s="50">
        <f>ROUND((AS$11/12/50*30)/5,2)*5</f>
        <v>266.39999999999998</v>
      </c>
      <c r="AT14" s="53">
        <f>ROUND((AT$11/12/50*70)/5,2)*5</f>
        <v>621.59999999999991</v>
      </c>
      <c r="AU14" s="72"/>
      <c r="AV14" s="72"/>
      <c r="AW14" s="72"/>
      <c r="AX14" s="72"/>
      <c r="AY14" s="72"/>
      <c r="AZ14" s="52"/>
      <c r="BA14" s="50">
        <f>ROUND((BA$11/12/50*30)/5,2)*5</f>
        <v>266.39999999999998</v>
      </c>
      <c r="BB14" s="53">
        <f>ROUND((BB$11/12/50*70)/5,2)*5</f>
        <v>621.59999999999991</v>
      </c>
    </row>
    <row r="15" spans="1:54" s="12" customFormat="1" x14ac:dyDescent="0.2">
      <c r="D15" s="7"/>
      <c r="E15" s="8"/>
      <c r="F15" s="27"/>
      <c r="G15" s="27"/>
      <c r="H15" s="30"/>
      <c r="I15" s="27"/>
      <c r="J15" s="27"/>
      <c r="K15" s="27"/>
      <c r="L15" s="59"/>
      <c r="M15" s="60"/>
      <c r="N15" s="61"/>
      <c r="O15" s="71"/>
      <c r="P15" s="71"/>
      <c r="Q15" s="71"/>
      <c r="R15" s="71"/>
      <c r="S15" s="71"/>
      <c r="T15" s="59"/>
      <c r="U15" s="60"/>
      <c r="V15" s="61"/>
      <c r="W15" s="27"/>
      <c r="X15" s="27"/>
      <c r="Y15" s="27"/>
      <c r="Z15" s="27"/>
      <c r="AA15" s="27"/>
      <c r="AB15" s="59"/>
      <c r="AC15" s="60"/>
      <c r="AD15" s="61"/>
      <c r="AE15" s="71"/>
      <c r="AF15" s="71"/>
      <c r="AG15" s="71"/>
      <c r="AH15" s="71"/>
      <c r="AI15" s="71"/>
      <c r="AJ15" s="59"/>
      <c r="AK15" s="60"/>
      <c r="AL15" s="61"/>
      <c r="AM15" s="27"/>
      <c r="AN15" s="27"/>
      <c r="AO15" s="27"/>
      <c r="AP15" s="27"/>
      <c r="AQ15" s="27"/>
      <c r="AR15" s="59"/>
      <c r="AS15" s="60"/>
      <c r="AT15" s="61"/>
      <c r="AU15" s="71"/>
      <c r="AV15" s="71"/>
      <c r="AW15" s="71"/>
      <c r="AX15" s="71"/>
      <c r="AY15" s="71"/>
      <c r="AZ15" s="59"/>
      <c r="BA15" s="60"/>
      <c r="BB15" s="61"/>
    </row>
    <row r="16" spans="1:54" x14ac:dyDescent="0.2">
      <c r="F16" s="27"/>
      <c r="G16" s="27"/>
      <c r="H16" s="30"/>
      <c r="I16" s="27"/>
      <c r="J16" s="27"/>
      <c r="K16" s="27"/>
      <c r="L16" s="82" t="s">
        <v>7</v>
      </c>
      <c r="M16" s="83" t="s">
        <v>13</v>
      </c>
      <c r="N16" s="84" t="s">
        <v>14</v>
      </c>
      <c r="O16" s="85" t="s">
        <v>10</v>
      </c>
      <c r="P16" s="86" t="s">
        <v>3</v>
      </c>
      <c r="Q16" s="87" t="s">
        <v>4</v>
      </c>
      <c r="R16" s="87" t="s">
        <v>5</v>
      </c>
      <c r="S16" s="87" t="s">
        <v>16</v>
      </c>
      <c r="T16" s="88" t="s">
        <v>7</v>
      </c>
      <c r="U16" s="89" t="s">
        <v>13</v>
      </c>
      <c r="V16" s="90" t="s">
        <v>14</v>
      </c>
      <c r="W16" s="83" t="s">
        <v>20</v>
      </c>
      <c r="X16" s="83" t="s">
        <v>3</v>
      </c>
      <c r="Y16" s="83" t="s">
        <v>4</v>
      </c>
      <c r="Z16" s="83" t="s">
        <v>24</v>
      </c>
      <c r="AA16" s="83" t="s">
        <v>21</v>
      </c>
      <c r="AB16" s="82" t="s">
        <v>7</v>
      </c>
      <c r="AC16" s="83" t="s">
        <v>13</v>
      </c>
      <c r="AD16" s="84" t="s">
        <v>14</v>
      </c>
      <c r="AE16" s="87" t="s">
        <v>10</v>
      </c>
      <c r="AF16" s="91" t="s">
        <v>3</v>
      </c>
      <c r="AG16" s="87" t="s">
        <v>4</v>
      </c>
      <c r="AH16" s="87" t="s">
        <v>24</v>
      </c>
      <c r="AI16" s="87" t="s">
        <v>21</v>
      </c>
      <c r="AJ16" s="88" t="s">
        <v>7</v>
      </c>
      <c r="AK16" s="89" t="s">
        <v>25</v>
      </c>
      <c r="AL16" s="90" t="s">
        <v>14</v>
      </c>
      <c r="AM16" s="83" t="s">
        <v>20</v>
      </c>
      <c r="AN16" s="83" t="s">
        <v>3</v>
      </c>
      <c r="AO16" s="83" t="s">
        <v>4</v>
      </c>
      <c r="AP16" s="83" t="s">
        <v>24</v>
      </c>
      <c r="AQ16" s="83" t="s">
        <v>21</v>
      </c>
      <c r="AR16" s="82" t="s">
        <v>7</v>
      </c>
      <c r="AS16" s="83" t="s">
        <v>13</v>
      </c>
      <c r="AT16" s="84" t="s">
        <v>14</v>
      </c>
      <c r="AU16" s="87" t="s">
        <v>10</v>
      </c>
      <c r="AV16" s="91" t="s">
        <v>3</v>
      </c>
      <c r="AW16" s="87" t="s">
        <v>4</v>
      </c>
      <c r="AX16" s="87" t="s">
        <v>24</v>
      </c>
      <c r="AY16" s="87" t="s">
        <v>21</v>
      </c>
      <c r="AZ16" s="88" t="s">
        <v>7</v>
      </c>
      <c r="BA16" s="89" t="s">
        <v>25</v>
      </c>
      <c r="BB16" s="90" t="s">
        <v>14</v>
      </c>
    </row>
    <row r="17" spans="1:54" x14ac:dyDescent="0.2">
      <c r="A17" s="19" t="s">
        <v>30</v>
      </c>
      <c r="B17" s="20">
        <v>35420</v>
      </c>
      <c r="C17" s="21">
        <f>YEAR($B$1)-YEAR(B17)</f>
        <v>28</v>
      </c>
      <c r="D17" s="22">
        <v>50746</v>
      </c>
      <c r="E17" s="23">
        <v>0.9</v>
      </c>
      <c r="F17" s="27">
        <f>'Skala AGS'!$B$42*E17</f>
        <v>23152.5</v>
      </c>
      <c r="G17" s="27">
        <f>IF($D17&lt;'Skala AGS'!$B$44,0,IF(+$D17-$F17&lt;'Skala AGS'!$B$43,'Skala AGS'!$B$43,+$D17-$F17))</f>
        <v>27593.5</v>
      </c>
      <c r="H17" s="30">
        <f>VLOOKUP($C17,'Skala AGS'!$A$2:'Skala AGS'!$B$6,2)</f>
        <v>7.0000000000000007E-2</v>
      </c>
      <c r="I17" s="27">
        <f>ROUND((G17*H17)/5,2)*5</f>
        <v>1931.55</v>
      </c>
      <c r="J17" s="27">
        <f>ROUND((G17*2.6%)/5,2)*5</f>
        <v>717.45</v>
      </c>
      <c r="K17" s="27">
        <f>IF(G17=0,0,360)</f>
        <v>360</v>
      </c>
      <c r="L17" s="62">
        <f>+I17+J17+K17</f>
        <v>3009</v>
      </c>
      <c r="M17" s="33">
        <f>ROUND((L17/2)/5,2)*5</f>
        <v>1504.5</v>
      </c>
      <c r="N17" s="63">
        <f>ROUND((L17/2)/5,2)*5</f>
        <v>1504.5</v>
      </c>
      <c r="O17" s="72">
        <f>IF($D17&lt;'Skala AGS'!$B$44,0,IF(+$D17-$F17&lt;'Skala AGS'!$B$43,'Skala AGS'!$B$43,+$D17-$F17))</f>
        <v>27593.5</v>
      </c>
      <c r="P17" s="67">
        <f>VLOOKUP($C17,'Skala AGS'!$A$9:'Skala AGS'!$B$13,2)</f>
        <v>7.0000000000000007E-2</v>
      </c>
      <c r="Q17" s="71">
        <f>ROUND((O17*P17)/5,2)*5</f>
        <v>1931.55</v>
      </c>
      <c r="R17" s="71">
        <f>ROUND((O17*2.6%)/5,2)*5</f>
        <v>717.45</v>
      </c>
      <c r="S17" s="72">
        <f>IF(O17=0,0,360)</f>
        <v>360</v>
      </c>
      <c r="T17" s="65">
        <f>+Q17+R17+S17</f>
        <v>3009</v>
      </c>
      <c r="U17" s="34">
        <f>ROUND((T17/2)/5,2)*5</f>
        <v>1504.5</v>
      </c>
      <c r="V17" s="66">
        <f>ROUND((T17/2)/5,2)*5</f>
        <v>1504.5</v>
      </c>
      <c r="W17" s="27">
        <f>IF($D17&lt;'Skala AGS'!$B$44,0,IF(+$D17&lt;'Skala AGS'!$B$43,'Skala AGS'!$B$43,+$D17))</f>
        <v>50746</v>
      </c>
      <c r="X17" s="30">
        <f>VLOOKUP($C17,'Skala AGS'!$A$15:'Skala AGS'!$B$19,2)</f>
        <v>0.06</v>
      </c>
      <c r="Y17" s="77">
        <f>ROUND((W17*X17)/5,2)*5</f>
        <v>3044.75</v>
      </c>
      <c r="Z17" s="27">
        <f>ROUND((W17*2.6%)/5,2)*5</f>
        <v>1319.4</v>
      </c>
      <c r="AA17" s="33">
        <f>IF(W17=0,0,360)</f>
        <v>360</v>
      </c>
      <c r="AB17" s="62">
        <f>+Y17+Z17+AA17</f>
        <v>4724.1499999999996</v>
      </c>
      <c r="AC17" s="33">
        <f>ROUND((AB17/2)/5,2)*5</f>
        <v>2362.1</v>
      </c>
      <c r="AD17" s="63">
        <f>ROUND((AB17/2)/5,2)*5</f>
        <v>2362.1</v>
      </c>
      <c r="AE17" s="80">
        <f>IF($D17&lt;'Skala AGS'!$B$44,0,IF(+$D17&lt;'Skala AGS'!$B$43,'Skala AGS'!$B$43,+$D17))</f>
        <v>50746</v>
      </c>
      <c r="AF17" s="67">
        <f>VLOOKUP($C17,'Skala AGS'!$A$21:'Skala AGS'!$B$25,2)</f>
        <v>0.06</v>
      </c>
      <c r="AG17" s="71">
        <f>ROUND((AE17*AF17)/5,2)*5</f>
        <v>3044.75</v>
      </c>
      <c r="AH17" s="71">
        <f>ROUND((AE17*2.6%)/5,2)*5</f>
        <v>1319.4</v>
      </c>
      <c r="AI17" s="81">
        <f>IF(AE17=0,0,360)</f>
        <v>360</v>
      </c>
      <c r="AJ17" s="65">
        <f>+AG17+AH17+AI17</f>
        <v>4724.1499999999996</v>
      </c>
      <c r="AK17" s="34">
        <f>ROUND((AJ17/2)/5,2)*5</f>
        <v>2362.1</v>
      </c>
      <c r="AL17" s="66">
        <f>ROUND((AJ17/2)/5,2)*5</f>
        <v>2362.1</v>
      </c>
      <c r="AM17" s="33">
        <f>IF($D17&lt;'Skala AGS'!$B$44,0,IF(+$D17&lt;'Skala AGS'!$B$43,'Skala AGS'!$B$43,+$D17))</f>
        <v>50746</v>
      </c>
      <c r="AN17" s="30">
        <f>VLOOKUP($C17,'Skala AGS'!$A$27:'Skala AGS'!$B$31,2)</f>
        <v>0.11</v>
      </c>
      <c r="AO17" s="27">
        <f>ROUND((AM17*AN17)/5,2)*5</f>
        <v>5582.05</v>
      </c>
      <c r="AP17" s="27">
        <f>ROUND((AM17*2.6%)/5,2)*5</f>
        <v>1319.4</v>
      </c>
      <c r="AQ17" s="33">
        <f>IF(AM17=0,0,360)</f>
        <v>360</v>
      </c>
      <c r="AR17" s="62">
        <f>+AO17+AP17+AQ17</f>
        <v>7261.4500000000007</v>
      </c>
      <c r="AS17" s="33">
        <f>ROUND((AR17/2)/5,2)*5</f>
        <v>3630.75</v>
      </c>
      <c r="AT17" s="63">
        <f>ROUND((AR17/2)/5,2)*5</f>
        <v>3630.75</v>
      </c>
      <c r="AU17" s="80">
        <f>IF($D17&lt;'Skala AGS'!$B$44,0,IF(+$D17&lt;'Skala AGS'!$B$43,'Skala AGS'!$B$43,+$D17))</f>
        <v>50746</v>
      </c>
      <c r="AV17" s="67">
        <f>VLOOKUP($C17,'Skala AGS'!$A$33:'Skala AGS'!$B$37,2)</f>
        <v>0.11</v>
      </c>
      <c r="AW17" s="71">
        <f>ROUND((AU17*AV17)/5,2)*5</f>
        <v>5582.05</v>
      </c>
      <c r="AX17" s="71">
        <f>ROUND((AU17*2.6%)/5,2)*5</f>
        <v>1319.4</v>
      </c>
      <c r="AY17" s="81">
        <f>IF(AU17=0,0,360)</f>
        <v>360</v>
      </c>
      <c r="AZ17" s="65">
        <f>+AW17+AX17+AY17</f>
        <v>7261.4500000000007</v>
      </c>
      <c r="BA17" s="34">
        <f>ROUND((AZ17/2)/5,2)*5</f>
        <v>3630.75</v>
      </c>
      <c r="BB17" s="66">
        <f>ROUND((AZ17/2)/5,2)*5</f>
        <v>3630.75</v>
      </c>
    </row>
    <row r="18" spans="1:54" x14ac:dyDescent="0.2">
      <c r="A18" s="35" t="s">
        <v>35</v>
      </c>
      <c r="B18" s="36"/>
      <c r="C18" s="37"/>
      <c r="D18" s="38"/>
      <c r="E18" s="39"/>
      <c r="F18" s="32"/>
      <c r="G18" s="32"/>
      <c r="H18" s="74"/>
      <c r="I18" s="32"/>
      <c r="J18" s="32"/>
      <c r="K18" s="32"/>
      <c r="L18" s="40"/>
      <c r="M18" s="38">
        <f>ROUND((M$17/12)/5,2)*5</f>
        <v>125.39999999999999</v>
      </c>
      <c r="N18" s="41">
        <f>ROUND((N$17/12)/5,2)*5</f>
        <v>125.39999999999999</v>
      </c>
      <c r="O18" s="72"/>
      <c r="P18" s="72"/>
      <c r="Q18" s="72"/>
      <c r="R18" s="72"/>
      <c r="S18" s="72"/>
      <c r="T18" s="40"/>
      <c r="U18" s="38">
        <f>ROUND((U$17/12)/5,2)*5</f>
        <v>125.39999999999999</v>
      </c>
      <c r="V18" s="41">
        <f>ROUND((V$17/12)/5,2)*5</f>
        <v>125.39999999999999</v>
      </c>
      <c r="W18" s="32"/>
      <c r="X18" s="32"/>
      <c r="Y18" s="32"/>
      <c r="Z18" s="32"/>
      <c r="AA18" s="32"/>
      <c r="AB18" s="40"/>
      <c r="AC18" s="38">
        <f>ROUND((AC$17/12)/5,2)*5</f>
        <v>196.85</v>
      </c>
      <c r="AD18" s="41">
        <f>ROUND((AD$17/12)/5,2)*5</f>
        <v>196.85</v>
      </c>
      <c r="AE18" s="72">
        <f t="shared" ref="AE18:AF18" si="3">ROUND((AE$5/12)/5,2)*5</f>
        <v>1916.6499999999999</v>
      </c>
      <c r="AF18" s="72">
        <f t="shared" si="3"/>
        <v>0</v>
      </c>
      <c r="AG18" s="72"/>
      <c r="AH18" s="72"/>
      <c r="AI18" s="72"/>
      <c r="AJ18" s="40"/>
      <c r="AK18" s="38">
        <f>ROUND((AK$17/12)/5,2)*5</f>
        <v>196.85</v>
      </c>
      <c r="AL18" s="41">
        <f>ROUND((AL$17/12)/5,2)*5</f>
        <v>196.85</v>
      </c>
      <c r="AM18" s="32"/>
      <c r="AN18" s="32"/>
      <c r="AO18" s="32"/>
      <c r="AP18" s="32"/>
      <c r="AQ18" s="32"/>
      <c r="AR18" s="40"/>
      <c r="AS18" s="38">
        <f>ROUND((AS$17/12)/5,2)*5</f>
        <v>302.55</v>
      </c>
      <c r="AT18" s="41">
        <f>ROUND((AT$17/12)/5,2)*5</f>
        <v>302.55</v>
      </c>
      <c r="AU18" s="72"/>
      <c r="AV18" s="72"/>
      <c r="AW18" s="72"/>
      <c r="AX18" s="72"/>
      <c r="AY18" s="72"/>
      <c r="AZ18" s="40"/>
      <c r="BA18" s="38">
        <f>ROUND((BA$17/12)/5,2)*5</f>
        <v>302.55</v>
      </c>
      <c r="BB18" s="41">
        <f>ROUND((BB$17/12)/5,2)*5</f>
        <v>302.55</v>
      </c>
    </row>
    <row r="19" spans="1:54" x14ac:dyDescent="0.2">
      <c r="A19" s="42" t="s">
        <v>36</v>
      </c>
      <c r="B19" s="43"/>
      <c r="C19" s="43"/>
      <c r="D19" s="44"/>
      <c r="E19" s="45"/>
      <c r="F19" s="32"/>
      <c r="G19" s="32"/>
      <c r="H19" s="74"/>
      <c r="I19" s="32"/>
      <c r="J19" s="32"/>
      <c r="K19" s="32"/>
      <c r="L19" s="46"/>
      <c r="M19" s="44">
        <f>ROUND((M$17/12/50*40)/5,2)*5</f>
        <v>100.3</v>
      </c>
      <c r="N19" s="47">
        <f>ROUND((N$17/12/50*60)/5,2)*5</f>
        <v>150.44999999999999</v>
      </c>
      <c r="O19" s="72"/>
      <c r="P19" s="72"/>
      <c r="Q19" s="72"/>
      <c r="R19" s="72"/>
      <c r="S19" s="72"/>
      <c r="T19" s="46"/>
      <c r="U19" s="44">
        <f>ROUND((U$17/12/50*40)/5,2)*5</f>
        <v>100.3</v>
      </c>
      <c r="V19" s="47">
        <f>ROUND((V$17/12/50*60)/5,2)*5</f>
        <v>150.44999999999999</v>
      </c>
      <c r="W19" s="32"/>
      <c r="X19" s="32"/>
      <c r="Y19" s="32"/>
      <c r="Z19" s="32"/>
      <c r="AA19" s="32"/>
      <c r="AB19" s="46"/>
      <c r="AC19" s="44">
        <f>ROUND((AC$17/12/50*40)/5,2)*5</f>
        <v>157.44999999999999</v>
      </c>
      <c r="AD19" s="47">
        <f>ROUND((AD$17/12/50*60)/5,2)*5</f>
        <v>236.20000000000002</v>
      </c>
      <c r="AE19" s="72">
        <f t="shared" ref="AE19:AF19" si="4">ROUND((AE$5/12/50*40)/5,2)*5</f>
        <v>1533.3500000000001</v>
      </c>
      <c r="AF19" s="72">
        <f t="shared" si="4"/>
        <v>0</v>
      </c>
      <c r="AG19" s="72"/>
      <c r="AH19" s="72"/>
      <c r="AI19" s="72"/>
      <c r="AJ19" s="46"/>
      <c r="AK19" s="44">
        <f>ROUND((AK$17/12/50*40)/5,2)*5</f>
        <v>157.44999999999999</v>
      </c>
      <c r="AL19" s="47">
        <f>ROUND((AL$17/12/50*60)/5,2)*5</f>
        <v>236.20000000000002</v>
      </c>
      <c r="AM19" s="32"/>
      <c r="AN19" s="32"/>
      <c r="AO19" s="32"/>
      <c r="AP19" s="32"/>
      <c r="AQ19" s="32"/>
      <c r="AR19" s="46"/>
      <c r="AS19" s="44">
        <f>ROUND((AS$17/12/50*40)/5,2)*5</f>
        <v>242.04999999999998</v>
      </c>
      <c r="AT19" s="47">
        <f>ROUND((AT$17/12/50*60)/5,2)*5</f>
        <v>363.1</v>
      </c>
      <c r="AU19" s="72"/>
      <c r="AV19" s="72"/>
      <c r="AW19" s="72"/>
      <c r="AX19" s="72"/>
      <c r="AY19" s="72"/>
      <c r="AZ19" s="46"/>
      <c r="BA19" s="44">
        <f>ROUND((BA$17/12/50*40)/5,2)*5</f>
        <v>242.04999999999998</v>
      </c>
      <c r="BB19" s="47">
        <f>ROUND((BB$17/12/50*60)/5,2)*5</f>
        <v>363.1</v>
      </c>
    </row>
    <row r="20" spans="1:54" x14ac:dyDescent="0.2">
      <c r="A20" s="48" t="s">
        <v>37</v>
      </c>
      <c r="B20" s="49"/>
      <c r="C20" s="49"/>
      <c r="D20" s="50"/>
      <c r="E20" s="51"/>
      <c r="F20" s="32"/>
      <c r="G20" s="32"/>
      <c r="H20" s="74"/>
      <c r="I20" s="32"/>
      <c r="J20" s="32"/>
      <c r="K20" s="32"/>
      <c r="L20" s="52"/>
      <c r="M20" s="50">
        <f>ROUND((M$17/12/50*30)/5,2)*5</f>
        <v>75.25</v>
      </c>
      <c r="N20" s="53">
        <f>ROUND((N$17/12/50*70)/5,2)*5</f>
        <v>175.55</v>
      </c>
      <c r="O20" s="72"/>
      <c r="P20" s="72"/>
      <c r="Q20" s="72"/>
      <c r="R20" s="72"/>
      <c r="S20" s="72"/>
      <c r="T20" s="52"/>
      <c r="U20" s="50">
        <f>ROUND((U$17/12/50*30)/5,2)*5</f>
        <v>75.25</v>
      </c>
      <c r="V20" s="53">
        <f>ROUND((V$17/12/50*70)/5,2)*5</f>
        <v>175.55</v>
      </c>
      <c r="W20" s="32"/>
      <c r="X20" s="32"/>
      <c r="Y20" s="32"/>
      <c r="Z20" s="32"/>
      <c r="AA20" s="32"/>
      <c r="AB20" s="52"/>
      <c r="AC20" s="50">
        <f>ROUND((AC$17/12/50*30)/5,2)*5</f>
        <v>118.10000000000001</v>
      </c>
      <c r="AD20" s="53">
        <f>ROUND((AD$17/12/50*70)/5,2)*5</f>
        <v>275.59999999999997</v>
      </c>
      <c r="AE20" s="72">
        <f t="shared" ref="AE20:AF20" si="5">ROUND((AE$5/12/50*30)/5,2)*5</f>
        <v>1150</v>
      </c>
      <c r="AF20" s="72">
        <f t="shared" si="5"/>
        <v>0</v>
      </c>
      <c r="AG20" s="72"/>
      <c r="AH20" s="72"/>
      <c r="AI20" s="72"/>
      <c r="AJ20" s="52"/>
      <c r="AK20" s="50">
        <f>ROUND((AK$17/12/50*30)/5,2)*5</f>
        <v>118.10000000000001</v>
      </c>
      <c r="AL20" s="53">
        <f>ROUND((AL$17/12/50*70)/5,2)*5</f>
        <v>275.59999999999997</v>
      </c>
      <c r="AM20" s="32"/>
      <c r="AN20" s="32"/>
      <c r="AO20" s="32"/>
      <c r="AP20" s="32"/>
      <c r="AQ20" s="32"/>
      <c r="AR20" s="52"/>
      <c r="AS20" s="50">
        <f>ROUND((AS$17/12/50*30)/5,2)*5</f>
        <v>181.55</v>
      </c>
      <c r="AT20" s="53">
        <f>ROUND((AT$17/12/50*70)/5,2)*5</f>
        <v>423.6</v>
      </c>
      <c r="AU20" s="72"/>
      <c r="AV20" s="72"/>
      <c r="AW20" s="72"/>
      <c r="AX20" s="72"/>
      <c r="AY20" s="72"/>
      <c r="AZ20" s="52"/>
      <c r="BA20" s="50">
        <f>ROUND((BA$17/12/50*30)/5,2)*5</f>
        <v>181.55</v>
      </c>
      <c r="BB20" s="53">
        <f>ROUND((BB$17/12/50*70)/5,2)*5</f>
        <v>423.6</v>
      </c>
    </row>
    <row r="21" spans="1:54" s="12" customFormat="1" x14ac:dyDescent="0.2">
      <c r="D21" s="7"/>
      <c r="E21" s="8"/>
      <c r="F21" s="27"/>
      <c r="G21" s="27"/>
      <c r="H21" s="30"/>
      <c r="I21" s="27"/>
      <c r="J21" s="27"/>
      <c r="K21" s="27"/>
      <c r="L21" s="59"/>
      <c r="M21" s="60"/>
      <c r="N21" s="61"/>
      <c r="O21" s="71"/>
      <c r="P21" s="71"/>
      <c r="Q21" s="71"/>
      <c r="R21" s="71"/>
      <c r="S21" s="71"/>
      <c r="T21" s="59"/>
      <c r="U21" s="60"/>
      <c r="V21" s="61"/>
      <c r="W21" s="27"/>
      <c r="X21" s="27"/>
      <c r="Y21" s="27"/>
      <c r="Z21" s="27"/>
      <c r="AA21" s="27"/>
      <c r="AB21" s="59"/>
      <c r="AC21" s="60"/>
      <c r="AD21" s="61"/>
      <c r="AE21" s="71"/>
      <c r="AF21" s="71"/>
      <c r="AG21" s="71"/>
      <c r="AH21" s="71"/>
      <c r="AI21" s="71"/>
      <c r="AJ21" s="59"/>
      <c r="AK21" s="60"/>
      <c r="AL21" s="61"/>
      <c r="AM21" s="27"/>
      <c r="AN21" s="27"/>
      <c r="AO21" s="27"/>
      <c r="AP21" s="27"/>
      <c r="AQ21" s="27"/>
      <c r="AR21" s="59"/>
      <c r="AS21" s="60"/>
      <c r="AT21" s="61"/>
      <c r="AU21" s="71"/>
      <c r="AV21" s="71"/>
      <c r="AW21" s="71"/>
      <c r="AX21" s="71"/>
      <c r="AY21" s="71"/>
      <c r="AZ21" s="59"/>
      <c r="BA21" s="60"/>
      <c r="BB21" s="61"/>
    </row>
    <row r="22" spans="1:54" x14ac:dyDescent="0.2">
      <c r="F22" s="27"/>
      <c r="G22" s="27"/>
      <c r="H22" s="30"/>
      <c r="I22" s="27"/>
      <c r="J22" s="27"/>
      <c r="K22" s="27"/>
      <c r="L22" s="82" t="s">
        <v>7</v>
      </c>
      <c r="M22" s="83" t="s">
        <v>13</v>
      </c>
      <c r="N22" s="84" t="s">
        <v>14</v>
      </c>
      <c r="O22" s="85" t="s">
        <v>10</v>
      </c>
      <c r="P22" s="86" t="s">
        <v>3</v>
      </c>
      <c r="Q22" s="87" t="s">
        <v>4</v>
      </c>
      <c r="R22" s="87" t="s">
        <v>5</v>
      </c>
      <c r="S22" s="87" t="s">
        <v>16</v>
      </c>
      <c r="T22" s="88" t="s">
        <v>7</v>
      </c>
      <c r="U22" s="89" t="s">
        <v>13</v>
      </c>
      <c r="V22" s="90" t="s">
        <v>14</v>
      </c>
      <c r="W22" s="83" t="s">
        <v>20</v>
      </c>
      <c r="X22" s="83" t="s">
        <v>3</v>
      </c>
      <c r="Y22" s="83" t="s">
        <v>4</v>
      </c>
      <c r="Z22" s="83" t="s">
        <v>24</v>
      </c>
      <c r="AA22" s="83" t="s">
        <v>21</v>
      </c>
      <c r="AB22" s="82" t="s">
        <v>7</v>
      </c>
      <c r="AC22" s="83" t="s">
        <v>13</v>
      </c>
      <c r="AD22" s="84" t="s">
        <v>14</v>
      </c>
      <c r="AE22" s="87" t="s">
        <v>10</v>
      </c>
      <c r="AF22" s="91" t="s">
        <v>3</v>
      </c>
      <c r="AG22" s="87" t="s">
        <v>4</v>
      </c>
      <c r="AH22" s="87" t="s">
        <v>24</v>
      </c>
      <c r="AI22" s="87" t="s">
        <v>21</v>
      </c>
      <c r="AJ22" s="88" t="s">
        <v>7</v>
      </c>
      <c r="AK22" s="89" t="s">
        <v>25</v>
      </c>
      <c r="AL22" s="90" t="s">
        <v>14</v>
      </c>
      <c r="AM22" s="83" t="s">
        <v>20</v>
      </c>
      <c r="AN22" s="83" t="s">
        <v>3</v>
      </c>
      <c r="AO22" s="83" t="s">
        <v>4</v>
      </c>
      <c r="AP22" s="83" t="s">
        <v>24</v>
      </c>
      <c r="AQ22" s="83" t="s">
        <v>21</v>
      </c>
      <c r="AR22" s="82" t="s">
        <v>7</v>
      </c>
      <c r="AS22" s="83" t="s">
        <v>13</v>
      </c>
      <c r="AT22" s="84" t="s">
        <v>14</v>
      </c>
      <c r="AU22" s="87" t="s">
        <v>10</v>
      </c>
      <c r="AV22" s="91" t="s">
        <v>3</v>
      </c>
      <c r="AW22" s="87" t="s">
        <v>4</v>
      </c>
      <c r="AX22" s="87" t="s">
        <v>24</v>
      </c>
      <c r="AY22" s="87" t="s">
        <v>21</v>
      </c>
      <c r="AZ22" s="88" t="s">
        <v>7</v>
      </c>
      <c r="BA22" s="89" t="s">
        <v>25</v>
      </c>
      <c r="BB22" s="90" t="s">
        <v>14</v>
      </c>
    </row>
    <row r="23" spans="1:54" x14ac:dyDescent="0.2">
      <c r="A23" s="19" t="s">
        <v>31</v>
      </c>
      <c r="B23" s="20">
        <v>33737</v>
      </c>
      <c r="C23" s="21">
        <f>YEAR($B$1)-YEAR(B23)</f>
        <v>32</v>
      </c>
      <c r="D23" s="22">
        <v>57900</v>
      </c>
      <c r="E23" s="23">
        <v>1</v>
      </c>
      <c r="F23" s="27">
        <f>'Skala AGS'!$B$42*E23</f>
        <v>25725</v>
      </c>
      <c r="G23" s="27">
        <f>IF($D23&lt;'Skala AGS'!$B$44,0,IF(+$D23-$F23&lt;'Skala AGS'!$B$43,'Skala AGS'!$B$43,+$D23-$F23))</f>
        <v>32175</v>
      </c>
      <c r="H23" s="30">
        <f>VLOOKUP($C23,'Skala AGS'!$A$2:'Skala AGS'!$B$6,2)</f>
        <v>7.0000000000000007E-2</v>
      </c>
      <c r="I23" s="27">
        <f>ROUND((G23*H23)/5,2)*5</f>
        <v>2252.25</v>
      </c>
      <c r="J23" s="27">
        <f>ROUND((G23*2.6%)/5,2)*5</f>
        <v>836.55</v>
      </c>
      <c r="K23" s="27">
        <f>IF(G23=0,0,360)</f>
        <v>360</v>
      </c>
      <c r="L23" s="62">
        <f>+I23+J23+K23</f>
        <v>3448.8</v>
      </c>
      <c r="M23" s="33">
        <f>ROUND((L23/2)/5,2)*5</f>
        <v>1724.4</v>
      </c>
      <c r="N23" s="63">
        <f>ROUND((L23/2)/5,2)*5</f>
        <v>1724.4</v>
      </c>
      <c r="O23" s="72">
        <f>IF($D23&lt;'Skala AGS'!$B$44,0,IF(+$D23-$F23&lt;'Skala AGS'!$B$43,'Skala AGS'!$B$43,+$D23-$F23))</f>
        <v>32175</v>
      </c>
      <c r="P23" s="67">
        <f>VLOOKUP($C23,'Skala AGS'!$A$9:'Skala AGS'!$B$13,2)</f>
        <v>7.0000000000000007E-2</v>
      </c>
      <c r="Q23" s="71">
        <f>ROUND((O23*P23)/5,2)*5</f>
        <v>2252.25</v>
      </c>
      <c r="R23" s="71">
        <f>ROUND((O23*2.6%)/5,2)*5</f>
        <v>836.55</v>
      </c>
      <c r="S23" s="72">
        <f>IF(O23=0,0,360)</f>
        <v>360</v>
      </c>
      <c r="T23" s="65">
        <f>+Q23+R23+S23</f>
        <v>3448.8</v>
      </c>
      <c r="U23" s="34">
        <f>ROUND((T23/2)/5,2)*5</f>
        <v>1724.4</v>
      </c>
      <c r="V23" s="66">
        <f>ROUND((T23/2)/5,2)*5</f>
        <v>1724.4</v>
      </c>
      <c r="W23" s="27">
        <f>IF($D23&lt;'Skala AGS'!$B$44,0,IF(+$D23&lt;'Skala AGS'!$B$43,'Skala AGS'!$B$43,+$D23))</f>
        <v>57900</v>
      </c>
      <c r="X23" s="30">
        <f>VLOOKUP($C23,'Skala AGS'!$A$15:'Skala AGS'!$B$19,2)</f>
        <v>0.06</v>
      </c>
      <c r="Y23" s="77">
        <f>ROUND((W23*X23)/5,2)*5</f>
        <v>3474</v>
      </c>
      <c r="Z23" s="27">
        <f>ROUND((W23*2.6%)/5,2)*5</f>
        <v>1505.3999999999999</v>
      </c>
      <c r="AA23" s="33">
        <f>IF(W23=0,0,360)</f>
        <v>360</v>
      </c>
      <c r="AB23" s="62">
        <f>+Y23+Z23+AA23</f>
        <v>5339.4</v>
      </c>
      <c r="AC23" s="33">
        <f>ROUND((AB23/2)/5,2)*5</f>
        <v>2669.7000000000003</v>
      </c>
      <c r="AD23" s="63">
        <f>ROUND((AB23/2)/5,2)*5</f>
        <v>2669.7000000000003</v>
      </c>
      <c r="AE23" s="80">
        <f>IF($D23&lt;'Skala AGS'!$B$44,0,IF(+$D23&lt;'Skala AGS'!$B$43,'Skala AGS'!$B$43,+$D23))</f>
        <v>57900</v>
      </c>
      <c r="AF23" s="67">
        <f>VLOOKUP($C23,'Skala AGS'!$A$21:'Skala AGS'!$B$25,2)</f>
        <v>0.06</v>
      </c>
      <c r="AG23" s="71">
        <f>ROUND((AE23*AF23)/5,2)*5</f>
        <v>3474</v>
      </c>
      <c r="AH23" s="71">
        <f>ROUND((AE23*2.6%)/5,2)*5</f>
        <v>1505.3999999999999</v>
      </c>
      <c r="AI23" s="81">
        <f>IF(AE23=0,0,360)</f>
        <v>360</v>
      </c>
      <c r="AJ23" s="65">
        <f>+AG23+AH23+AI23</f>
        <v>5339.4</v>
      </c>
      <c r="AK23" s="34">
        <f>ROUND((AJ23/2)/5,2)*5</f>
        <v>2669.7000000000003</v>
      </c>
      <c r="AL23" s="66">
        <f>ROUND((AJ23/2)/5,2)*5</f>
        <v>2669.7000000000003</v>
      </c>
      <c r="AM23" s="33">
        <f>IF($D23&lt;'Skala AGS'!$B$44,0,IF(+$D23&lt;'Skala AGS'!$B$43,'Skala AGS'!$B$43,+$D23))</f>
        <v>57900</v>
      </c>
      <c r="AN23" s="30">
        <f>VLOOKUP($C23,'Skala AGS'!$A$27:'Skala AGS'!$B$31,2)</f>
        <v>0.11</v>
      </c>
      <c r="AO23" s="27">
        <f>ROUND((AM23*AN23)/5,2)*5</f>
        <v>6369</v>
      </c>
      <c r="AP23" s="27">
        <f>ROUND((AM23*2.6%)/5,2)*5</f>
        <v>1505.3999999999999</v>
      </c>
      <c r="AQ23" s="33">
        <f>IF(AM23=0,0,360)</f>
        <v>360</v>
      </c>
      <c r="AR23" s="62">
        <f>+AO23+AP23+AQ23</f>
        <v>8234.4</v>
      </c>
      <c r="AS23" s="33">
        <f>ROUND((AR23/2)/5,2)*5</f>
        <v>4117.2000000000007</v>
      </c>
      <c r="AT23" s="63">
        <f>ROUND((AR23/2)/5,2)*5</f>
        <v>4117.2000000000007</v>
      </c>
      <c r="AU23" s="80">
        <f>IF($D23&lt;'Skala AGS'!$B$44,0,IF(+$D23&lt;'Skala AGS'!$B$43,'Skala AGS'!$B$43,+$D23))</f>
        <v>57900</v>
      </c>
      <c r="AV23" s="67">
        <f>VLOOKUP($C23,'Skala AGS'!$A$33:'Skala AGS'!$B$37,2)</f>
        <v>0.11</v>
      </c>
      <c r="AW23" s="71">
        <f>ROUND((AU23*AV23)/5,2)*5</f>
        <v>6369</v>
      </c>
      <c r="AX23" s="71">
        <f>ROUND((AU23*2.6%)/5,2)*5</f>
        <v>1505.3999999999999</v>
      </c>
      <c r="AY23" s="81">
        <f>IF(AU23=0,0,360)</f>
        <v>360</v>
      </c>
      <c r="AZ23" s="65">
        <f>+AW23+AX23+AY23</f>
        <v>8234.4</v>
      </c>
      <c r="BA23" s="34">
        <f>ROUND((AZ23/2)/5,2)*5</f>
        <v>4117.2000000000007</v>
      </c>
      <c r="BB23" s="66">
        <f>ROUND((AZ23/2)/5,2)*5</f>
        <v>4117.2000000000007</v>
      </c>
    </row>
    <row r="24" spans="1:54" x14ac:dyDescent="0.2">
      <c r="A24" s="35" t="s">
        <v>35</v>
      </c>
      <c r="B24" s="36"/>
      <c r="C24" s="37"/>
      <c r="D24" s="38"/>
      <c r="E24" s="39"/>
      <c r="F24" s="32"/>
      <c r="G24" s="32"/>
      <c r="H24" s="74"/>
      <c r="I24" s="32"/>
      <c r="J24" s="32"/>
      <c r="K24" s="32"/>
      <c r="L24" s="40"/>
      <c r="M24" s="38">
        <f>ROUND((M$23/12)/5,2)*5</f>
        <v>143.69999999999999</v>
      </c>
      <c r="N24" s="41">
        <f>ROUND((N$23/12)/5,2)*5</f>
        <v>143.69999999999999</v>
      </c>
      <c r="O24" s="72"/>
      <c r="P24" s="72"/>
      <c r="Q24" s="72"/>
      <c r="R24" s="72"/>
      <c r="S24" s="72"/>
      <c r="T24" s="40"/>
      <c r="U24" s="38">
        <f>ROUND((U$23/12)/5,2)*5</f>
        <v>143.69999999999999</v>
      </c>
      <c r="V24" s="41">
        <f>ROUND((V$23/12)/5,2)*5</f>
        <v>143.69999999999999</v>
      </c>
      <c r="W24" s="32"/>
      <c r="X24" s="32"/>
      <c r="Y24" s="32"/>
      <c r="Z24" s="32"/>
      <c r="AA24" s="32"/>
      <c r="AB24" s="40"/>
      <c r="AC24" s="38">
        <f>ROUND((AC$23/12)/5,2)*5</f>
        <v>222.5</v>
      </c>
      <c r="AD24" s="41">
        <f>ROUND((AD$23/12)/5,2)*5</f>
        <v>222.5</v>
      </c>
      <c r="AE24" s="72"/>
      <c r="AF24" s="72"/>
      <c r="AG24" s="72"/>
      <c r="AH24" s="72"/>
      <c r="AI24" s="72"/>
      <c r="AJ24" s="40"/>
      <c r="AK24" s="38">
        <f>ROUND((AK$23/12)/5,2)*5</f>
        <v>222.5</v>
      </c>
      <c r="AL24" s="41">
        <f>ROUND((AL$23/12)/5,2)*5</f>
        <v>222.5</v>
      </c>
      <c r="AM24" s="32"/>
      <c r="AN24" s="32"/>
      <c r="AO24" s="32"/>
      <c r="AP24" s="32"/>
      <c r="AQ24" s="32"/>
      <c r="AR24" s="40"/>
      <c r="AS24" s="38">
        <f>ROUND((AS$23/12)/5,2)*5</f>
        <v>343.1</v>
      </c>
      <c r="AT24" s="41">
        <f>ROUND((AT$23/12)/5,2)*5</f>
        <v>343.1</v>
      </c>
      <c r="AU24" s="72"/>
      <c r="AV24" s="72"/>
      <c r="AW24" s="72"/>
      <c r="AX24" s="72"/>
      <c r="AY24" s="72"/>
      <c r="AZ24" s="40"/>
      <c r="BA24" s="38">
        <f>ROUND((BA$23/12)/5,2)*5</f>
        <v>343.1</v>
      </c>
      <c r="BB24" s="41">
        <f>ROUND((BB$23/12)/5,2)*5</f>
        <v>343.1</v>
      </c>
    </row>
    <row r="25" spans="1:54" x14ac:dyDescent="0.2">
      <c r="A25" s="54" t="s">
        <v>36</v>
      </c>
      <c r="B25" s="55"/>
      <c r="C25" s="55"/>
      <c r="D25" s="56"/>
      <c r="E25" s="57"/>
      <c r="F25" s="75"/>
      <c r="G25" s="75"/>
      <c r="H25" s="76"/>
      <c r="I25" s="75"/>
      <c r="J25" s="75"/>
      <c r="K25" s="75"/>
      <c r="L25" s="64"/>
      <c r="M25" s="56">
        <f>ROUND((M$23/12/50*40)/5,2)*5</f>
        <v>114.94999999999999</v>
      </c>
      <c r="N25" s="58">
        <f>ROUND((N$23/12/50*60)/5,2)*5</f>
        <v>172.45000000000002</v>
      </c>
      <c r="O25" s="73"/>
      <c r="P25" s="73"/>
      <c r="Q25" s="73"/>
      <c r="R25" s="73"/>
      <c r="S25" s="73"/>
      <c r="T25" s="64"/>
      <c r="U25" s="56">
        <f>ROUND((U$23/12/50*40)/5,2)*5</f>
        <v>114.94999999999999</v>
      </c>
      <c r="V25" s="58">
        <f>ROUND((V$23/12/50*60)/5,2)*5</f>
        <v>172.45000000000002</v>
      </c>
      <c r="W25" s="32"/>
      <c r="X25" s="32"/>
      <c r="Y25" s="75"/>
      <c r="Z25" s="75"/>
      <c r="AA25" s="75"/>
      <c r="AB25" s="64"/>
      <c r="AC25" s="56">
        <f>ROUND((AC$23/12/50*40)/5,2)*5</f>
        <v>178</v>
      </c>
      <c r="AD25" s="58">
        <f>ROUND((AD$23/12/50*60)/5,2)*5</f>
        <v>266.95</v>
      </c>
      <c r="AE25" s="72"/>
      <c r="AF25" s="72"/>
      <c r="AG25" s="73"/>
      <c r="AH25" s="73"/>
      <c r="AI25" s="73"/>
      <c r="AJ25" s="64"/>
      <c r="AK25" s="56">
        <f>ROUND((AK$23/12/50*40)/5,2)*5</f>
        <v>178</v>
      </c>
      <c r="AL25" s="58">
        <f>ROUND((AL$23/12/50*60)/5,2)*5</f>
        <v>266.95</v>
      </c>
      <c r="AM25" s="32"/>
      <c r="AN25" s="32"/>
      <c r="AO25" s="75"/>
      <c r="AP25" s="75"/>
      <c r="AQ25" s="75"/>
      <c r="AR25" s="64"/>
      <c r="AS25" s="56">
        <f>ROUND((AS$23/12/50*40)/5,2)*5</f>
        <v>274.5</v>
      </c>
      <c r="AT25" s="58">
        <f>ROUND((AT$23/12/50*60)/5,2)*5</f>
        <v>411.70000000000005</v>
      </c>
      <c r="AU25" s="72"/>
      <c r="AV25" s="72"/>
      <c r="AW25" s="73"/>
      <c r="AX25" s="73"/>
      <c r="AY25" s="73"/>
      <c r="AZ25" s="64"/>
      <c r="BA25" s="56">
        <f>ROUND((BA$23/12/50*40)/5,2)*5</f>
        <v>274.5</v>
      </c>
      <c r="BB25" s="58">
        <f>ROUND((BB$23/12/50*60)/5,2)*5</f>
        <v>411.70000000000005</v>
      </c>
    </row>
    <row r="26" spans="1:54" x14ac:dyDescent="0.2">
      <c r="A26" s="48" t="s">
        <v>37</v>
      </c>
      <c r="B26" s="49"/>
      <c r="C26" s="49"/>
      <c r="D26" s="50"/>
      <c r="E26" s="51"/>
      <c r="F26" s="32"/>
      <c r="G26" s="32"/>
      <c r="H26" s="74"/>
      <c r="I26" s="32"/>
      <c r="J26" s="32"/>
      <c r="K26" s="32"/>
      <c r="L26" s="52"/>
      <c r="M26" s="50">
        <f>ROUND((M$23/12/50*30)/5,2)*5</f>
        <v>86.199999999999989</v>
      </c>
      <c r="N26" s="53">
        <f>ROUND((N$23/12/50*70)/5,2)*5</f>
        <v>201.20000000000002</v>
      </c>
      <c r="O26" s="72"/>
      <c r="P26" s="72"/>
      <c r="Q26" s="72"/>
      <c r="R26" s="72"/>
      <c r="S26" s="72"/>
      <c r="T26" s="52"/>
      <c r="U26" s="50">
        <f>ROUND((U$23/12/50*30)/5,2)*5</f>
        <v>86.199999999999989</v>
      </c>
      <c r="V26" s="53">
        <f>ROUND((V$23/12/50*70)/5,2)*5</f>
        <v>201.20000000000002</v>
      </c>
      <c r="W26" s="32"/>
      <c r="X26" s="32"/>
      <c r="Y26" s="32"/>
      <c r="Z26" s="32"/>
      <c r="AA26" s="32"/>
      <c r="AB26" s="52">
        <f>ROUND((AB$23/12/50*30)/5,2)*5</f>
        <v>266.95</v>
      </c>
      <c r="AC26" s="50">
        <f>ROUND((AC$23/12/50*30)/5,2)*5</f>
        <v>133.5</v>
      </c>
      <c r="AD26" s="53">
        <f>ROUND((AD$23/12/50*70)/5,2)*5</f>
        <v>311.45</v>
      </c>
      <c r="AE26" s="72"/>
      <c r="AF26" s="72"/>
      <c r="AG26" s="72"/>
      <c r="AH26" s="72"/>
      <c r="AI26" s="72"/>
      <c r="AJ26" s="52"/>
      <c r="AK26" s="50">
        <f>ROUND((AK$23/12/50*30)/5,2)*5</f>
        <v>133.5</v>
      </c>
      <c r="AL26" s="53">
        <f>ROUND((AL$23/12/50*70)/5,2)*5</f>
        <v>311.45</v>
      </c>
      <c r="AM26" s="32"/>
      <c r="AN26" s="32"/>
      <c r="AO26" s="32"/>
      <c r="AP26" s="32"/>
      <c r="AQ26" s="32"/>
      <c r="AR26" s="52"/>
      <c r="AS26" s="50">
        <f>ROUND((AS$23/12/50*30)/5,2)*5</f>
        <v>205.85000000000002</v>
      </c>
      <c r="AT26" s="53">
        <f>ROUND((AT$23/12/50*70)/5,2)*5</f>
        <v>480.34999999999997</v>
      </c>
      <c r="AU26" s="72"/>
      <c r="AV26" s="72"/>
      <c r="AW26" s="72"/>
      <c r="AX26" s="72"/>
      <c r="AY26" s="72"/>
      <c r="AZ26" s="52"/>
      <c r="BA26" s="50">
        <f>ROUND((BA$23/12/50*30)/5,2)*5</f>
        <v>205.85000000000002</v>
      </c>
      <c r="BB26" s="53">
        <f>ROUND((BB$23/12/50*70)/5,2)*5</f>
        <v>480.34999999999997</v>
      </c>
    </row>
    <row r="27" spans="1:54" s="12" customFormat="1" x14ac:dyDescent="0.2">
      <c r="D27" s="7"/>
      <c r="E27" s="8"/>
      <c r="F27" s="27"/>
      <c r="G27" s="27"/>
      <c r="H27" s="30"/>
      <c r="I27" s="27"/>
      <c r="J27" s="27"/>
      <c r="K27" s="27"/>
      <c r="L27" s="59"/>
      <c r="M27" s="60"/>
      <c r="N27" s="61"/>
      <c r="O27" s="71"/>
      <c r="P27" s="71"/>
      <c r="Q27" s="71"/>
      <c r="R27" s="71"/>
      <c r="S27" s="71"/>
      <c r="T27" s="59"/>
      <c r="U27" s="60"/>
      <c r="V27" s="61"/>
      <c r="W27" s="27"/>
      <c r="X27" s="27"/>
      <c r="Y27" s="27"/>
      <c r="Z27" s="27"/>
      <c r="AA27" s="27"/>
      <c r="AB27" s="59"/>
      <c r="AC27" s="60"/>
      <c r="AD27" s="61"/>
      <c r="AE27" s="72"/>
      <c r="AF27" s="72"/>
      <c r="AG27" s="71"/>
      <c r="AH27" s="71"/>
      <c r="AI27" s="71"/>
      <c r="AJ27" s="59"/>
      <c r="AK27" s="60"/>
      <c r="AL27" s="61"/>
      <c r="AM27" s="27"/>
      <c r="AN27" s="27"/>
      <c r="AO27" s="27"/>
      <c r="AP27" s="27"/>
      <c r="AQ27" s="27"/>
      <c r="AR27" s="59"/>
      <c r="AS27" s="60"/>
      <c r="AT27" s="61"/>
      <c r="AU27" s="72"/>
      <c r="AV27" s="72"/>
      <c r="AW27" s="71"/>
      <c r="AX27" s="71"/>
      <c r="AY27" s="71"/>
      <c r="AZ27" s="59"/>
      <c r="BA27" s="60"/>
      <c r="BB27" s="61"/>
    </row>
    <row r="28" spans="1:54" x14ac:dyDescent="0.2">
      <c r="F28" s="27"/>
      <c r="G28" s="27"/>
      <c r="H28" s="30"/>
      <c r="I28" s="27"/>
      <c r="J28" s="27"/>
      <c r="K28" s="27"/>
      <c r="L28" s="82" t="s">
        <v>7</v>
      </c>
      <c r="M28" s="83" t="s">
        <v>13</v>
      </c>
      <c r="N28" s="84" t="s">
        <v>14</v>
      </c>
      <c r="O28" s="85" t="s">
        <v>10</v>
      </c>
      <c r="P28" s="86" t="s">
        <v>3</v>
      </c>
      <c r="Q28" s="87" t="s">
        <v>4</v>
      </c>
      <c r="R28" s="87" t="s">
        <v>5</v>
      </c>
      <c r="S28" s="87" t="s">
        <v>16</v>
      </c>
      <c r="T28" s="88" t="s">
        <v>7</v>
      </c>
      <c r="U28" s="89" t="s">
        <v>13</v>
      </c>
      <c r="V28" s="90" t="s">
        <v>14</v>
      </c>
      <c r="W28" s="83" t="s">
        <v>20</v>
      </c>
      <c r="X28" s="83" t="s">
        <v>3</v>
      </c>
      <c r="Y28" s="83" t="s">
        <v>4</v>
      </c>
      <c r="Z28" s="83" t="s">
        <v>24</v>
      </c>
      <c r="AA28" s="83" t="s">
        <v>21</v>
      </c>
      <c r="AB28" s="82" t="s">
        <v>7</v>
      </c>
      <c r="AC28" s="83" t="s">
        <v>13</v>
      </c>
      <c r="AD28" s="84" t="s">
        <v>14</v>
      </c>
      <c r="AE28" s="87" t="s">
        <v>10</v>
      </c>
      <c r="AF28" s="91" t="s">
        <v>3</v>
      </c>
      <c r="AG28" s="87" t="s">
        <v>4</v>
      </c>
      <c r="AH28" s="87" t="s">
        <v>24</v>
      </c>
      <c r="AI28" s="87" t="s">
        <v>21</v>
      </c>
      <c r="AJ28" s="88" t="s">
        <v>7</v>
      </c>
      <c r="AK28" s="89" t="s">
        <v>25</v>
      </c>
      <c r="AL28" s="90" t="s">
        <v>14</v>
      </c>
      <c r="AM28" s="83" t="s">
        <v>20</v>
      </c>
      <c r="AN28" s="83" t="s">
        <v>3</v>
      </c>
      <c r="AO28" s="83" t="s">
        <v>4</v>
      </c>
      <c r="AP28" s="83" t="s">
        <v>24</v>
      </c>
      <c r="AQ28" s="83" t="s">
        <v>21</v>
      </c>
      <c r="AR28" s="82" t="s">
        <v>7</v>
      </c>
      <c r="AS28" s="83" t="s">
        <v>13</v>
      </c>
      <c r="AT28" s="84" t="s">
        <v>14</v>
      </c>
      <c r="AU28" s="87" t="s">
        <v>10</v>
      </c>
      <c r="AV28" s="91" t="s">
        <v>3</v>
      </c>
      <c r="AW28" s="87" t="s">
        <v>4</v>
      </c>
      <c r="AX28" s="87" t="s">
        <v>24</v>
      </c>
      <c r="AY28" s="87" t="s">
        <v>21</v>
      </c>
      <c r="AZ28" s="88" t="s">
        <v>7</v>
      </c>
      <c r="BA28" s="89" t="s">
        <v>25</v>
      </c>
      <c r="BB28" s="90" t="s">
        <v>14</v>
      </c>
    </row>
    <row r="29" spans="1:54" x14ac:dyDescent="0.2">
      <c r="A29" s="19" t="s">
        <v>32</v>
      </c>
      <c r="B29" s="20">
        <v>36293</v>
      </c>
      <c r="C29" s="21">
        <f>YEAR($B$1)-YEAR(B29)</f>
        <v>25</v>
      </c>
      <c r="D29" s="22">
        <v>57900</v>
      </c>
      <c r="E29" s="23">
        <v>1</v>
      </c>
      <c r="F29" s="27">
        <f>'Skala AGS'!$B$42*E29</f>
        <v>25725</v>
      </c>
      <c r="G29" s="27">
        <f>IF($D29&lt;'Skala AGS'!$B$44,0,IF(+$D29-$F29&lt;'Skala AGS'!$B$43,'Skala AGS'!$B$43,+$D29-$F29))</f>
        <v>32175</v>
      </c>
      <c r="H29" s="30">
        <f>VLOOKUP($C29,'Skala AGS'!$A$2:'Skala AGS'!$B$6,2)</f>
        <v>7.0000000000000007E-2</v>
      </c>
      <c r="I29" s="27">
        <f>ROUND((G29*H29)/5,2)*5</f>
        <v>2252.25</v>
      </c>
      <c r="J29" s="27">
        <f>ROUND((G29*2.6%)/5,2)*5</f>
        <v>836.55</v>
      </c>
      <c r="K29" s="27">
        <f>IF(G29=0,0,360)</f>
        <v>360</v>
      </c>
      <c r="L29" s="62">
        <f>+I29+J29+K29</f>
        <v>3448.8</v>
      </c>
      <c r="M29" s="33">
        <f>ROUND((L29/2)/5,2)*5</f>
        <v>1724.4</v>
      </c>
      <c r="N29" s="63">
        <f>ROUND((L29/2)/5,2)*5</f>
        <v>1724.4</v>
      </c>
      <c r="O29" s="72">
        <f>IF($D29&lt;'Skala AGS'!$B$44,0,IF(+$D29-$F29&lt;'Skala AGS'!$B$43,'Skala AGS'!$B$43,+$D29-$F29))</f>
        <v>32175</v>
      </c>
      <c r="P29" s="67">
        <f>VLOOKUP($C29,'Skala AGS'!$A$9:'Skala AGS'!$B$13,2)</f>
        <v>7.0000000000000007E-2</v>
      </c>
      <c r="Q29" s="71">
        <f>ROUND((O29*P29)/5,2)*5</f>
        <v>2252.25</v>
      </c>
      <c r="R29" s="71">
        <f>ROUND((O29*2.6%)/5,2)*5</f>
        <v>836.55</v>
      </c>
      <c r="S29" s="72">
        <f>IF(O29=0,0,360)</f>
        <v>360</v>
      </c>
      <c r="T29" s="65">
        <f>+Q29+R29+S29</f>
        <v>3448.8</v>
      </c>
      <c r="U29" s="34">
        <f>ROUND((T29/2)/5,2)*5</f>
        <v>1724.4</v>
      </c>
      <c r="V29" s="66">
        <f>ROUND((T29/2)/5,2)*5</f>
        <v>1724.4</v>
      </c>
      <c r="W29" s="27">
        <f>IF($D29&lt;'Skala AGS'!$B$44,0,IF(+$D29&lt;'Skala AGS'!$B$43,'Skala AGS'!$B$43,+$D29))</f>
        <v>57900</v>
      </c>
      <c r="X29" s="30">
        <f>VLOOKUP($C29,'Skala AGS'!$A$15:'Skala AGS'!$B$19,2)</f>
        <v>0.06</v>
      </c>
      <c r="Y29" s="77">
        <f>ROUND((W29*X29)/5,2)*5</f>
        <v>3474</v>
      </c>
      <c r="Z29" s="27">
        <f>ROUND((W29*2.6%)/5,2)*5</f>
        <v>1505.3999999999999</v>
      </c>
      <c r="AA29" s="33">
        <f>IF(W29=0,0,360)</f>
        <v>360</v>
      </c>
      <c r="AB29" s="62">
        <f>+Y29+Z29+AA29</f>
        <v>5339.4</v>
      </c>
      <c r="AC29" s="33">
        <f>ROUND((AB29/2)/5,2)*5</f>
        <v>2669.7000000000003</v>
      </c>
      <c r="AD29" s="63">
        <f>ROUND((AB29/2)/5,2)*5</f>
        <v>2669.7000000000003</v>
      </c>
      <c r="AE29" s="80">
        <f>IF($D29&lt;'Skala AGS'!$B$44,0,IF(+$D29&lt;'Skala AGS'!$B$43,'Skala AGS'!$B$43,+$D29))</f>
        <v>57900</v>
      </c>
      <c r="AF29" s="67">
        <f>VLOOKUP($C29,'Skala AGS'!$A$21:'Skala AGS'!$B$25,2)</f>
        <v>0.06</v>
      </c>
      <c r="AG29" s="71">
        <f>ROUND((AE29*AF29)/5,2)*5</f>
        <v>3474</v>
      </c>
      <c r="AH29" s="71">
        <f>ROUND((AE29*2.6%)/5,2)*5</f>
        <v>1505.3999999999999</v>
      </c>
      <c r="AI29" s="81">
        <f>IF(AE29=0,0,360)</f>
        <v>360</v>
      </c>
      <c r="AJ29" s="65">
        <f>+AG29+AH29+AI29</f>
        <v>5339.4</v>
      </c>
      <c r="AK29" s="34">
        <f>ROUND((AJ29/2)/5,2)*5</f>
        <v>2669.7000000000003</v>
      </c>
      <c r="AL29" s="66">
        <f>ROUND((AJ29/2)/5,2)*5</f>
        <v>2669.7000000000003</v>
      </c>
      <c r="AM29" s="33">
        <f>IF($D29&lt;'Skala AGS'!$B$44,0,IF(+$D29&lt;'Skala AGS'!$B$43,'Skala AGS'!$B$43,+$D29))</f>
        <v>57900</v>
      </c>
      <c r="AN29" s="30">
        <f>VLOOKUP($C29,'Skala AGS'!$A$27:'Skala AGS'!$B$31,2)</f>
        <v>0.11</v>
      </c>
      <c r="AO29" s="27">
        <f>ROUND((AM29*AN29)/5,2)*5</f>
        <v>6369</v>
      </c>
      <c r="AP29" s="27">
        <f>ROUND((AM29*2.6%)/5,2)*5</f>
        <v>1505.3999999999999</v>
      </c>
      <c r="AQ29" s="33">
        <f>IF(AM29=0,0,360)</f>
        <v>360</v>
      </c>
      <c r="AR29" s="62">
        <f>+AO29+AP29+AQ29</f>
        <v>8234.4</v>
      </c>
      <c r="AS29" s="33">
        <f>ROUND((AR29/2)/5,2)*5</f>
        <v>4117.2000000000007</v>
      </c>
      <c r="AT29" s="63">
        <f>ROUND((AR29/2)/5,2)*5</f>
        <v>4117.2000000000007</v>
      </c>
      <c r="AU29" s="80">
        <f>IF($D29&lt;'Skala AGS'!$B$44,0,IF(+$D29&lt;'Skala AGS'!$B$43,'Skala AGS'!$B$43,+$D29))</f>
        <v>57900</v>
      </c>
      <c r="AV29" s="67">
        <f>VLOOKUP($C29,'Skala AGS'!$A$33:'Skala AGS'!$B$37,2)</f>
        <v>0.11</v>
      </c>
      <c r="AW29" s="71">
        <f>ROUND((AU29*AV29)/5,2)*5</f>
        <v>6369</v>
      </c>
      <c r="AX29" s="71">
        <f>ROUND((AU29*2.6%)/5,2)*5</f>
        <v>1505.3999999999999</v>
      </c>
      <c r="AY29" s="81">
        <f>IF(AU29=0,0,360)</f>
        <v>360</v>
      </c>
      <c r="AZ29" s="65">
        <f>+AW29+AX29+AY29</f>
        <v>8234.4</v>
      </c>
      <c r="BA29" s="34">
        <f>ROUND((AZ29/2)/5,2)*5</f>
        <v>4117.2000000000007</v>
      </c>
      <c r="BB29" s="66">
        <f>ROUND((AZ29/2)/5,2)*5</f>
        <v>4117.2000000000007</v>
      </c>
    </row>
    <row r="30" spans="1:54" x14ac:dyDescent="0.2">
      <c r="A30" s="35" t="s">
        <v>35</v>
      </c>
      <c r="B30" s="36"/>
      <c r="C30" s="37"/>
      <c r="D30" s="38"/>
      <c r="E30" s="39"/>
      <c r="F30" s="32"/>
      <c r="G30" s="32"/>
      <c r="H30" s="74"/>
      <c r="I30" s="32"/>
      <c r="J30" s="32"/>
      <c r="K30" s="32"/>
      <c r="L30" s="40"/>
      <c r="M30" s="38">
        <f>ROUND((M$29/12)/5,2)*5</f>
        <v>143.69999999999999</v>
      </c>
      <c r="N30" s="41">
        <f>ROUND((N$29/12)/5,2)*5</f>
        <v>143.69999999999999</v>
      </c>
      <c r="O30" s="72"/>
      <c r="P30" s="72"/>
      <c r="Q30" s="72"/>
      <c r="R30" s="72"/>
      <c r="S30" s="72"/>
      <c r="T30" s="40"/>
      <c r="U30" s="38">
        <f>ROUND((U$29/12)/5,2)*5</f>
        <v>143.69999999999999</v>
      </c>
      <c r="V30" s="41">
        <f>ROUND((V$29/12)/5,2)*5</f>
        <v>143.69999999999999</v>
      </c>
      <c r="W30" s="32"/>
      <c r="X30" s="32"/>
      <c r="Y30" s="32"/>
      <c r="Z30" s="32"/>
      <c r="AA30" s="32"/>
      <c r="AB30" s="40"/>
      <c r="AC30" s="38">
        <f>ROUND((AC$29/12)/5,2)*5</f>
        <v>222.5</v>
      </c>
      <c r="AD30" s="41">
        <f>ROUND((AD$29/12)/5,2)*5</f>
        <v>222.5</v>
      </c>
      <c r="AE30" s="72"/>
      <c r="AF30" s="72"/>
      <c r="AG30" s="72"/>
      <c r="AH30" s="72"/>
      <c r="AI30" s="72"/>
      <c r="AJ30" s="40"/>
      <c r="AK30" s="38">
        <f>ROUND((AK$29/12)/5,2)*5</f>
        <v>222.5</v>
      </c>
      <c r="AL30" s="41">
        <f>ROUND((AL$29/12)/5,2)*5</f>
        <v>222.5</v>
      </c>
      <c r="AM30" s="32"/>
      <c r="AN30" s="32"/>
      <c r="AO30" s="32"/>
      <c r="AP30" s="32"/>
      <c r="AQ30" s="32"/>
      <c r="AR30" s="40"/>
      <c r="AS30" s="38">
        <f>ROUND((AS$29/12)/5,2)*5</f>
        <v>343.1</v>
      </c>
      <c r="AT30" s="41">
        <f>ROUND((AT$29/12)/5,2)*5</f>
        <v>343.1</v>
      </c>
      <c r="AU30" s="72"/>
      <c r="AV30" s="72"/>
      <c r="AW30" s="72"/>
      <c r="AX30" s="72"/>
      <c r="AY30" s="72"/>
      <c r="AZ30" s="40"/>
      <c r="BA30" s="38">
        <f>ROUND((BA$29/12)/5,2)*5</f>
        <v>343.1</v>
      </c>
      <c r="BB30" s="41">
        <f>ROUND((BB$29/12)/5,2)*5</f>
        <v>343.1</v>
      </c>
    </row>
    <row r="31" spans="1:54" x14ac:dyDescent="0.2">
      <c r="A31" s="42" t="s">
        <v>36</v>
      </c>
      <c r="B31" s="43"/>
      <c r="C31" s="43"/>
      <c r="D31" s="44"/>
      <c r="E31" s="45"/>
      <c r="F31" s="32"/>
      <c r="G31" s="32"/>
      <c r="H31" s="74"/>
      <c r="I31" s="32"/>
      <c r="J31" s="32"/>
      <c r="K31" s="32"/>
      <c r="L31" s="46"/>
      <c r="M31" s="44">
        <f>ROUND((M$29/12/50*40)/5,2)*5</f>
        <v>114.94999999999999</v>
      </c>
      <c r="N31" s="47">
        <f>ROUND((N$29/12/50*60)/5,2)*5</f>
        <v>172.45000000000002</v>
      </c>
      <c r="O31" s="72"/>
      <c r="P31" s="72"/>
      <c r="Q31" s="72"/>
      <c r="R31" s="72"/>
      <c r="S31" s="72"/>
      <c r="T31" s="46"/>
      <c r="U31" s="44">
        <f>ROUND((U$29/12/50*40)/5,2)*5</f>
        <v>114.94999999999999</v>
      </c>
      <c r="V31" s="47">
        <f>ROUND((V$29/12/50*60)/5,2)*5</f>
        <v>172.45000000000002</v>
      </c>
      <c r="W31" s="32"/>
      <c r="X31" s="32"/>
      <c r="Y31" s="32"/>
      <c r="Z31" s="32"/>
      <c r="AA31" s="32"/>
      <c r="AB31" s="46"/>
      <c r="AC31" s="44">
        <f>ROUND((AC$29/12/50*40)/5,2)*5</f>
        <v>178</v>
      </c>
      <c r="AD31" s="47">
        <f>ROUND((AD$29/12/50*60)/5,2)*5</f>
        <v>266.95</v>
      </c>
      <c r="AE31" s="72"/>
      <c r="AF31" s="72"/>
      <c r="AG31" s="72"/>
      <c r="AH31" s="72"/>
      <c r="AI31" s="72"/>
      <c r="AJ31" s="46"/>
      <c r="AK31" s="44">
        <f>ROUND((AK$29/12/50*40)/5,2)*5</f>
        <v>178</v>
      </c>
      <c r="AL31" s="47">
        <f>ROUND((AL$29/12/50*60)/5,2)*5</f>
        <v>266.95</v>
      </c>
      <c r="AM31" s="32"/>
      <c r="AN31" s="32"/>
      <c r="AO31" s="32"/>
      <c r="AP31" s="32"/>
      <c r="AQ31" s="32"/>
      <c r="AR31" s="46"/>
      <c r="AS31" s="44">
        <f>ROUND((AS$29/12/50*40)/5,2)*5</f>
        <v>274.5</v>
      </c>
      <c r="AT31" s="47">
        <f>ROUND((AT$29/12/50*60)/5,2)*5</f>
        <v>411.70000000000005</v>
      </c>
      <c r="AU31" s="72"/>
      <c r="AV31" s="72"/>
      <c r="AW31" s="72"/>
      <c r="AX31" s="72"/>
      <c r="AY31" s="72"/>
      <c r="AZ31" s="46"/>
      <c r="BA31" s="44">
        <f>ROUND((BA$29/12/50*40)/5,2)*5</f>
        <v>274.5</v>
      </c>
      <c r="BB31" s="47">
        <f>ROUND((BB$29/12/50*60)/5,2)*5</f>
        <v>411.70000000000005</v>
      </c>
    </row>
    <row r="32" spans="1:54" x14ac:dyDescent="0.2">
      <c r="A32" s="48" t="s">
        <v>37</v>
      </c>
      <c r="B32" s="49"/>
      <c r="C32" s="49"/>
      <c r="D32" s="50"/>
      <c r="E32" s="51"/>
      <c r="F32" s="32"/>
      <c r="G32" s="32"/>
      <c r="H32" s="74"/>
      <c r="I32" s="32"/>
      <c r="J32" s="32"/>
      <c r="K32" s="32"/>
      <c r="L32" s="52"/>
      <c r="M32" s="50">
        <f>ROUND((M$29/12/50*30)/5,2)*5</f>
        <v>86.199999999999989</v>
      </c>
      <c r="N32" s="53">
        <f>ROUND((N$29/12/50*70)/5,2)*5</f>
        <v>201.20000000000002</v>
      </c>
      <c r="O32" s="72"/>
      <c r="P32" s="72"/>
      <c r="Q32" s="72"/>
      <c r="R32" s="72"/>
      <c r="S32" s="72"/>
      <c r="T32" s="52"/>
      <c r="U32" s="50">
        <f>ROUND((U$29/12/50*30)/5,2)*5</f>
        <v>86.199999999999989</v>
      </c>
      <c r="V32" s="53">
        <f>ROUND((V$29/12/50*70)/5,2)*5</f>
        <v>201.20000000000002</v>
      </c>
      <c r="W32" s="32"/>
      <c r="X32" s="32"/>
      <c r="Y32" s="32"/>
      <c r="Z32" s="32"/>
      <c r="AA32" s="32"/>
      <c r="AB32" s="52"/>
      <c r="AC32" s="50">
        <f>ROUND((AC$29/12/50*30)/5,2)*5</f>
        <v>133.5</v>
      </c>
      <c r="AD32" s="53">
        <f>ROUND((AD$29/12/50*70)/5,2)*5</f>
        <v>311.45</v>
      </c>
      <c r="AE32" s="72"/>
      <c r="AF32" s="72"/>
      <c r="AG32" s="72"/>
      <c r="AH32" s="72"/>
      <c r="AI32" s="72"/>
      <c r="AJ32" s="52"/>
      <c r="AK32" s="50">
        <f>ROUND((AK$29/12/50*30)/5,2)*5</f>
        <v>133.5</v>
      </c>
      <c r="AL32" s="53">
        <f>ROUND((AL$29/12/50*70)/5,2)*5</f>
        <v>311.45</v>
      </c>
      <c r="AM32" s="32"/>
      <c r="AN32" s="32"/>
      <c r="AO32" s="32"/>
      <c r="AP32" s="32"/>
      <c r="AQ32" s="32"/>
      <c r="AR32" s="52"/>
      <c r="AS32" s="50">
        <f>ROUND((AS$29/12/50*30)/5,2)*5</f>
        <v>205.85000000000002</v>
      </c>
      <c r="AT32" s="53">
        <f>ROUND((AT$29/12/50*70)/5,2)*5</f>
        <v>480.34999999999997</v>
      </c>
      <c r="AU32" s="72"/>
      <c r="AV32" s="72"/>
      <c r="AW32" s="72"/>
      <c r="AX32" s="72"/>
      <c r="AY32" s="72"/>
      <c r="AZ32" s="52"/>
      <c r="BA32" s="50">
        <f>ROUND((BA$29/12/50*30)/5,2)*5</f>
        <v>205.85000000000002</v>
      </c>
      <c r="BB32" s="53">
        <f>ROUND((BB$29/12/50*70)/5,2)*5</f>
        <v>480.34999999999997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F34" s="27"/>
      <c r="G34" s="27"/>
      <c r="H34" s="30"/>
      <c r="I34" s="27"/>
      <c r="J34" s="27"/>
      <c r="K34" s="27"/>
      <c r="L34" s="82" t="s">
        <v>7</v>
      </c>
      <c r="M34" s="83" t="s">
        <v>13</v>
      </c>
      <c r="N34" s="84" t="s">
        <v>14</v>
      </c>
      <c r="O34" s="85" t="s">
        <v>10</v>
      </c>
      <c r="P34" s="86" t="s">
        <v>3</v>
      </c>
      <c r="Q34" s="87" t="s">
        <v>4</v>
      </c>
      <c r="R34" s="87" t="s">
        <v>5</v>
      </c>
      <c r="S34" s="87" t="s">
        <v>16</v>
      </c>
      <c r="T34" s="88" t="s">
        <v>7</v>
      </c>
      <c r="U34" s="89" t="s">
        <v>13</v>
      </c>
      <c r="V34" s="90" t="s">
        <v>14</v>
      </c>
      <c r="W34" s="83" t="s">
        <v>20</v>
      </c>
      <c r="X34" s="83" t="s">
        <v>3</v>
      </c>
      <c r="Y34" s="83" t="s">
        <v>4</v>
      </c>
      <c r="Z34" s="83" t="s">
        <v>24</v>
      </c>
      <c r="AA34" s="83" t="s">
        <v>21</v>
      </c>
      <c r="AB34" s="82" t="s">
        <v>7</v>
      </c>
      <c r="AC34" s="83" t="s">
        <v>13</v>
      </c>
      <c r="AD34" s="84" t="s">
        <v>14</v>
      </c>
      <c r="AE34" s="87" t="s">
        <v>10</v>
      </c>
      <c r="AF34" s="91" t="s">
        <v>3</v>
      </c>
      <c r="AG34" s="87" t="s">
        <v>4</v>
      </c>
      <c r="AH34" s="87" t="s">
        <v>24</v>
      </c>
      <c r="AI34" s="87" t="s">
        <v>21</v>
      </c>
      <c r="AJ34" s="88" t="s">
        <v>7</v>
      </c>
      <c r="AK34" s="89" t="s">
        <v>25</v>
      </c>
      <c r="AL34" s="90" t="s">
        <v>14</v>
      </c>
      <c r="AM34" s="83" t="s">
        <v>20</v>
      </c>
      <c r="AN34" s="83" t="s">
        <v>3</v>
      </c>
      <c r="AO34" s="83" t="s">
        <v>4</v>
      </c>
      <c r="AP34" s="83" t="s">
        <v>24</v>
      </c>
      <c r="AQ34" s="83" t="s">
        <v>21</v>
      </c>
      <c r="AR34" s="82" t="s">
        <v>7</v>
      </c>
      <c r="AS34" s="83" t="s">
        <v>13</v>
      </c>
      <c r="AT34" s="84" t="s">
        <v>14</v>
      </c>
      <c r="AU34" s="87" t="s">
        <v>10</v>
      </c>
      <c r="AV34" s="91" t="s">
        <v>3</v>
      </c>
      <c r="AW34" s="87" t="s">
        <v>4</v>
      </c>
      <c r="AX34" s="87" t="s">
        <v>24</v>
      </c>
      <c r="AY34" s="87" t="s">
        <v>21</v>
      </c>
      <c r="AZ34" s="88" t="s">
        <v>7</v>
      </c>
      <c r="BA34" s="89" t="s">
        <v>25</v>
      </c>
      <c r="BB34" s="90" t="s">
        <v>14</v>
      </c>
    </row>
    <row r="35" spans="1:55" x14ac:dyDescent="0.2">
      <c r="A35" s="19" t="s">
        <v>32</v>
      </c>
      <c r="B35" s="20">
        <v>36293</v>
      </c>
      <c r="C35" s="21">
        <f>YEAR($B$1)-YEAR(B35)</f>
        <v>25</v>
      </c>
      <c r="D35" s="22">
        <v>57900</v>
      </c>
      <c r="E35" s="23">
        <v>1</v>
      </c>
      <c r="F35" s="27">
        <f>'Skala AGS'!$B$42*E35</f>
        <v>25725</v>
      </c>
      <c r="G35" s="27">
        <f>IF($D35&lt;'Skala AGS'!$B$44,0,IF(+$D35-$F35&lt;'Skala AGS'!$B$43,'Skala AGS'!$B$43,+$D35-$F35))</f>
        <v>32175</v>
      </c>
      <c r="H35" s="30">
        <f>VLOOKUP($C35,'Skala AGS'!$A$2:'Skala AGS'!$B$6,2)</f>
        <v>7.0000000000000007E-2</v>
      </c>
      <c r="I35" s="27">
        <f>ROUND((G35*H35)/5,2)*5</f>
        <v>2252.25</v>
      </c>
      <c r="J35" s="27">
        <f>ROUND((G35*2.6%)/5,2)*5</f>
        <v>836.55</v>
      </c>
      <c r="K35" s="27">
        <f>IF(G35=0,0,360)</f>
        <v>360</v>
      </c>
      <c r="L35" s="62">
        <f>+I35+J35+K35</f>
        <v>3448.8</v>
      </c>
      <c r="M35" s="33">
        <f>ROUND((L35/2)/5,2)*5</f>
        <v>1724.4</v>
      </c>
      <c r="N35" s="63">
        <f>ROUND((L35/2)/5,2)*5</f>
        <v>1724.4</v>
      </c>
      <c r="O35" s="72">
        <f>IF($D35&lt;'Skala AGS'!$B$44,0,IF(+$D35-$F35&lt;'Skala AGS'!$B$43,'Skala AGS'!$B$43,+$D35-$F35))</f>
        <v>32175</v>
      </c>
      <c r="P35" s="67">
        <f>VLOOKUP($C35,'Skala AGS'!$A$9:'Skala AGS'!$B$13,2)</f>
        <v>7.0000000000000007E-2</v>
      </c>
      <c r="Q35" s="71">
        <f>ROUND((O35*P35)/5,2)*5</f>
        <v>2252.25</v>
      </c>
      <c r="R35" s="71">
        <f>ROUND((O35*2.6%)/5,2)*5</f>
        <v>836.55</v>
      </c>
      <c r="S35" s="72">
        <f>IF(O35=0,0,360)</f>
        <v>360</v>
      </c>
      <c r="T35" s="65">
        <f>+Q35+R35+S35</f>
        <v>3448.8</v>
      </c>
      <c r="U35" s="34">
        <f>ROUND((T35/2)/5,2)*5</f>
        <v>1724.4</v>
      </c>
      <c r="V35" s="66">
        <f>ROUND((T35/2)/5,2)*5</f>
        <v>1724.4</v>
      </c>
      <c r="W35" s="27">
        <f>IF($D35&lt;'Skala AGS'!$B$44,0,IF(+$D35&lt;'Skala AGS'!$B$43,'Skala AGS'!$B$43,+$D35))</f>
        <v>57900</v>
      </c>
      <c r="X35" s="30">
        <f>VLOOKUP($C35,'Skala AGS'!$A$15:'Skala AGS'!$B$19,2)</f>
        <v>0.06</v>
      </c>
      <c r="Y35" s="77">
        <f>ROUND((W35*X35)/5,2)*5</f>
        <v>3474</v>
      </c>
      <c r="Z35" s="27">
        <f>ROUND((W35*2.6%)/5,2)*5</f>
        <v>1505.3999999999999</v>
      </c>
      <c r="AA35" s="33">
        <f>IF(W35=0,0,360)</f>
        <v>360</v>
      </c>
      <c r="AB35" s="62">
        <f>+Y35+Z35+AA35</f>
        <v>5339.4</v>
      </c>
      <c r="AC35" s="33">
        <f>ROUND((AB35/2)/5,2)*5</f>
        <v>2669.7000000000003</v>
      </c>
      <c r="AD35" s="63">
        <f>ROUND((AB35/2)/5,2)*5</f>
        <v>2669.7000000000003</v>
      </c>
      <c r="AE35" s="80">
        <f>IF($D35&lt;'Skala AGS'!$B$44,0,IF(+$D35&lt;'Skala AGS'!$B$43,'Skala AGS'!$B$43,+$D35))</f>
        <v>57900</v>
      </c>
      <c r="AF35" s="67">
        <f>VLOOKUP($C35,'Skala AGS'!$A$21:'Skala AGS'!$B$25,2)</f>
        <v>0.06</v>
      </c>
      <c r="AG35" s="71">
        <f>ROUND((AE35*AF35)/5,2)*5</f>
        <v>3474</v>
      </c>
      <c r="AH35" s="71">
        <f>ROUND((AE35*2.6%)/5,2)*5</f>
        <v>1505.3999999999999</v>
      </c>
      <c r="AI35" s="81">
        <f>IF(AE35=0,0,360)</f>
        <v>360</v>
      </c>
      <c r="AJ35" s="65">
        <f>+AG35+AH35+AI35</f>
        <v>5339.4</v>
      </c>
      <c r="AK35" s="34">
        <f>ROUND((AJ35/2)/5,2)*5</f>
        <v>2669.7000000000003</v>
      </c>
      <c r="AL35" s="66">
        <f>ROUND((AJ35/2)/5,2)*5</f>
        <v>2669.7000000000003</v>
      </c>
      <c r="AM35" s="33">
        <f>IF($D35&lt;'Skala AGS'!$B$44,0,IF(+$D35&lt;'Skala AGS'!$B$43,'Skala AGS'!$B$43,+$D35))</f>
        <v>57900</v>
      </c>
      <c r="AN35" s="30">
        <f>VLOOKUP($C35,'Skala AGS'!$A$27:'Skala AGS'!$B$31,2)</f>
        <v>0.11</v>
      </c>
      <c r="AO35" s="27">
        <f>ROUND((AM35*AN35)/5,2)*5</f>
        <v>6369</v>
      </c>
      <c r="AP35" s="27">
        <f>ROUND((AM35*2.6%)/5,2)*5</f>
        <v>1505.3999999999999</v>
      </c>
      <c r="AQ35" s="33">
        <f>IF(AM35=0,0,360)</f>
        <v>360</v>
      </c>
      <c r="AR35" s="62">
        <f>+AO35+AP35+AQ35</f>
        <v>8234.4</v>
      </c>
      <c r="AS35" s="33">
        <f>ROUND((AR35/2)/5,2)*5</f>
        <v>4117.2000000000007</v>
      </c>
      <c r="AT35" s="63">
        <f>ROUND((AR35/2)/5,2)*5</f>
        <v>4117.2000000000007</v>
      </c>
      <c r="AU35" s="80">
        <f>IF($D35&lt;'Skala AGS'!$B$44,0,IF(+$D35&lt;'Skala AGS'!$B$43,'Skala AGS'!$B$43,+$D35))</f>
        <v>57900</v>
      </c>
      <c r="AV35" s="67">
        <f>VLOOKUP($C35,'Skala AGS'!$A$33:'Skala AGS'!$B$37,2)</f>
        <v>0.11</v>
      </c>
      <c r="AW35" s="71">
        <f>ROUND((AU35*AV35)/5,2)*5</f>
        <v>6369</v>
      </c>
      <c r="AX35" s="71">
        <f>ROUND((AU35*2.6%)/5,2)*5</f>
        <v>1505.3999999999999</v>
      </c>
      <c r="AY35" s="81">
        <f>IF(AU35=0,0,360)</f>
        <v>360</v>
      </c>
      <c r="AZ35" s="65">
        <f>+AW35+AX35+AY35</f>
        <v>8234.4</v>
      </c>
      <c r="BA35" s="34">
        <f>ROUND((AZ35/2)/5,2)*5</f>
        <v>4117.2000000000007</v>
      </c>
      <c r="BB35" s="66">
        <f>ROUND((AZ35/2)/5,2)*5</f>
        <v>4117.2000000000007</v>
      </c>
    </row>
    <row r="36" spans="1:55" x14ac:dyDescent="0.2">
      <c r="A36" s="35" t="s">
        <v>35</v>
      </c>
      <c r="B36" s="36"/>
      <c r="C36" s="37"/>
      <c r="D36" s="38"/>
      <c r="E36" s="39"/>
      <c r="F36" s="32"/>
      <c r="G36" s="32"/>
      <c r="H36" s="74"/>
      <c r="I36" s="32"/>
      <c r="J36" s="32"/>
      <c r="K36" s="32"/>
      <c r="L36" s="40"/>
      <c r="M36" s="38">
        <f>ROUND((M$29/12)/5,2)*5</f>
        <v>143.69999999999999</v>
      </c>
      <c r="N36" s="41">
        <f>ROUND((N$29/12)/5,2)*5</f>
        <v>143.69999999999999</v>
      </c>
      <c r="O36" s="72"/>
      <c r="P36" s="72"/>
      <c r="Q36" s="72"/>
      <c r="R36" s="72"/>
      <c r="S36" s="72"/>
      <c r="T36" s="40"/>
      <c r="U36" s="38">
        <f>ROUND((U$29/12)/5,2)*5</f>
        <v>143.69999999999999</v>
      </c>
      <c r="V36" s="41">
        <f>ROUND((V$29/12)/5,2)*5</f>
        <v>143.69999999999999</v>
      </c>
      <c r="W36" s="32"/>
      <c r="X36" s="32"/>
      <c r="Y36" s="32"/>
      <c r="Z36" s="32"/>
      <c r="AA36" s="32"/>
      <c r="AB36" s="40"/>
      <c r="AC36" s="38">
        <f>ROUND((AC$29/12)/5,2)*5</f>
        <v>222.5</v>
      </c>
      <c r="AD36" s="41">
        <f>ROUND((AD$29/12)/5,2)*5</f>
        <v>222.5</v>
      </c>
      <c r="AE36" s="72"/>
      <c r="AF36" s="72"/>
      <c r="AG36" s="72"/>
      <c r="AH36" s="72"/>
      <c r="AI36" s="72"/>
      <c r="AJ36" s="40"/>
      <c r="AK36" s="38">
        <f>ROUND((AK$29/12)/5,2)*5</f>
        <v>222.5</v>
      </c>
      <c r="AL36" s="41">
        <f>ROUND((AL$29/12)/5,2)*5</f>
        <v>222.5</v>
      </c>
      <c r="AM36" s="32"/>
      <c r="AN36" s="32"/>
      <c r="AO36" s="32"/>
      <c r="AP36" s="32"/>
      <c r="AQ36" s="32"/>
      <c r="AR36" s="40"/>
      <c r="AS36" s="38">
        <f>ROUND((AS$29/12)/5,2)*5</f>
        <v>343.1</v>
      </c>
      <c r="AT36" s="41">
        <f>ROUND((AT$29/12)/5,2)*5</f>
        <v>343.1</v>
      </c>
      <c r="AU36" s="72"/>
      <c r="AV36" s="72"/>
      <c r="AW36" s="72"/>
      <c r="AX36" s="72"/>
      <c r="AY36" s="72"/>
      <c r="AZ36" s="40"/>
      <c r="BA36" s="38">
        <f>ROUND((BA$29/12)/5,2)*5</f>
        <v>343.1</v>
      </c>
      <c r="BB36" s="41">
        <f>ROUND((BB$29/12)/5,2)*5</f>
        <v>343.1</v>
      </c>
    </row>
    <row r="37" spans="1:55" x14ac:dyDescent="0.2">
      <c r="A37" s="42" t="s">
        <v>36</v>
      </c>
      <c r="B37" s="43"/>
      <c r="C37" s="43"/>
      <c r="D37" s="44"/>
      <c r="E37" s="45"/>
      <c r="F37" s="32"/>
      <c r="G37" s="32"/>
      <c r="H37" s="74"/>
      <c r="I37" s="32"/>
      <c r="J37" s="32"/>
      <c r="K37" s="32"/>
      <c r="L37" s="46"/>
      <c r="M37" s="44">
        <f>ROUND((M$29/12/50*40)/5,2)*5</f>
        <v>114.94999999999999</v>
      </c>
      <c r="N37" s="47">
        <f>ROUND((N$29/12/50*60)/5,2)*5</f>
        <v>172.45000000000002</v>
      </c>
      <c r="O37" s="72"/>
      <c r="P37" s="72"/>
      <c r="Q37" s="72"/>
      <c r="R37" s="72"/>
      <c r="S37" s="72"/>
      <c r="T37" s="46"/>
      <c r="U37" s="44">
        <f>ROUND((U$29/12/50*40)/5,2)*5</f>
        <v>114.94999999999999</v>
      </c>
      <c r="V37" s="47">
        <f>ROUND((V$29/12/50*60)/5,2)*5</f>
        <v>172.45000000000002</v>
      </c>
      <c r="W37" s="32"/>
      <c r="X37" s="32"/>
      <c r="Y37" s="32"/>
      <c r="Z37" s="32"/>
      <c r="AA37" s="32"/>
      <c r="AB37" s="46"/>
      <c r="AC37" s="44">
        <f>ROUND((AC$29/12/50*40)/5,2)*5</f>
        <v>178</v>
      </c>
      <c r="AD37" s="47">
        <f>ROUND((AD$29/12/50*60)/5,2)*5</f>
        <v>266.95</v>
      </c>
      <c r="AE37" s="72"/>
      <c r="AF37" s="72"/>
      <c r="AG37" s="72"/>
      <c r="AH37" s="72"/>
      <c r="AI37" s="72"/>
      <c r="AJ37" s="46"/>
      <c r="AK37" s="44">
        <f>ROUND((AK$29/12/50*40)/5,2)*5</f>
        <v>178</v>
      </c>
      <c r="AL37" s="47">
        <f>ROUND((AL$29/12/50*60)/5,2)*5</f>
        <v>266.95</v>
      </c>
      <c r="AM37" s="32"/>
      <c r="AN37" s="32"/>
      <c r="AO37" s="32"/>
      <c r="AP37" s="32"/>
      <c r="AQ37" s="32"/>
      <c r="AR37" s="46"/>
      <c r="AS37" s="44">
        <f>ROUND((AS$29/12/50*40)/5,2)*5</f>
        <v>274.5</v>
      </c>
      <c r="AT37" s="47">
        <f>ROUND((AT$29/12/50*60)/5,2)*5</f>
        <v>411.70000000000005</v>
      </c>
      <c r="AU37" s="72"/>
      <c r="AV37" s="72"/>
      <c r="AW37" s="72"/>
      <c r="AX37" s="72"/>
      <c r="AY37" s="72"/>
      <c r="AZ37" s="46"/>
      <c r="BA37" s="44">
        <f>ROUND((BA$29/12/50*40)/5,2)*5</f>
        <v>274.5</v>
      </c>
      <c r="BB37" s="47">
        <f>ROUND((BB$29/12/50*60)/5,2)*5</f>
        <v>411.70000000000005</v>
      </c>
    </row>
    <row r="38" spans="1:55" x14ac:dyDescent="0.2">
      <c r="A38" s="48" t="s">
        <v>37</v>
      </c>
      <c r="B38" s="49"/>
      <c r="C38" s="49"/>
      <c r="D38" s="50"/>
      <c r="E38" s="51"/>
      <c r="F38" s="32"/>
      <c r="G38" s="32"/>
      <c r="H38" s="74"/>
      <c r="I38" s="32"/>
      <c r="J38" s="32"/>
      <c r="K38" s="32"/>
      <c r="L38" s="52"/>
      <c r="M38" s="50">
        <f>ROUND((M$29/12/50*30)/5,2)*5</f>
        <v>86.199999999999989</v>
      </c>
      <c r="N38" s="53">
        <f>ROUND((N$29/12/50*70)/5,2)*5</f>
        <v>201.20000000000002</v>
      </c>
      <c r="O38" s="72"/>
      <c r="P38" s="72"/>
      <c r="Q38" s="72"/>
      <c r="R38" s="72"/>
      <c r="S38" s="72"/>
      <c r="T38" s="52"/>
      <c r="U38" s="50">
        <f>ROUND((U$29/12/50*30)/5,2)*5</f>
        <v>86.199999999999989</v>
      </c>
      <c r="V38" s="53">
        <f>ROUND((V$29/12/50*70)/5,2)*5</f>
        <v>201.20000000000002</v>
      </c>
      <c r="W38" s="32"/>
      <c r="X38" s="32"/>
      <c r="Y38" s="32"/>
      <c r="Z38" s="32"/>
      <c r="AA38" s="32"/>
      <c r="AB38" s="52"/>
      <c r="AC38" s="50">
        <f>ROUND((AC$29/12/50*30)/5,2)*5</f>
        <v>133.5</v>
      </c>
      <c r="AD38" s="53">
        <f>ROUND((AD$29/12/50*70)/5,2)*5</f>
        <v>311.45</v>
      </c>
      <c r="AE38" s="72"/>
      <c r="AF38" s="72"/>
      <c r="AG38" s="72"/>
      <c r="AH38" s="72"/>
      <c r="AI38" s="72"/>
      <c r="AJ38" s="52"/>
      <c r="AK38" s="50">
        <f>ROUND((AK$29/12/50*30)/5,2)*5</f>
        <v>133.5</v>
      </c>
      <c r="AL38" s="53">
        <f>ROUND((AL$29/12/50*70)/5,2)*5</f>
        <v>311.45</v>
      </c>
      <c r="AM38" s="32"/>
      <c r="AN38" s="32"/>
      <c r="AO38" s="32"/>
      <c r="AP38" s="32"/>
      <c r="AQ38" s="32"/>
      <c r="AR38" s="52"/>
      <c r="AS38" s="50">
        <f>ROUND((AS$29/12/50*30)/5,2)*5</f>
        <v>205.85000000000002</v>
      </c>
      <c r="AT38" s="53">
        <f>ROUND((AT$29/12/50*70)/5,2)*5</f>
        <v>480.34999999999997</v>
      </c>
      <c r="AU38" s="72"/>
      <c r="AV38" s="72"/>
      <c r="AW38" s="72"/>
      <c r="AX38" s="72"/>
      <c r="AY38" s="72"/>
      <c r="AZ38" s="52"/>
      <c r="BA38" s="50">
        <f>ROUND((BA$29/12/50*30)/5,2)*5</f>
        <v>205.85000000000002</v>
      </c>
      <c r="BB38" s="53">
        <f>ROUND((BB$29/12/50*70)/5,2)*5</f>
        <v>480.34999999999997</v>
      </c>
    </row>
    <row r="39" spans="1:55" x14ac:dyDescent="0.2">
      <c r="O39" s="7"/>
      <c r="P39" s="7"/>
      <c r="Q39" s="7"/>
      <c r="R39" s="7"/>
      <c r="S39" s="7"/>
      <c r="T39" s="7"/>
      <c r="U39" s="7"/>
      <c r="V39" s="7"/>
      <c r="W39" s="7"/>
      <c r="X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U39" s="7"/>
      <c r="AV39" s="7"/>
      <c r="AW39" s="7"/>
      <c r="AX39" s="7"/>
      <c r="AY39" s="7"/>
      <c r="AZ39" s="7"/>
      <c r="BA39" s="7"/>
      <c r="BB39" s="7"/>
    </row>
    <row r="40" spans="1:55" x14ac:dyDescent="0.2">
      <c r="O40" s="7"/>
      <c r="P40" s="7"/>
      <c r="Q40" s="7"/>
      <c r="R40" s="7"/>
      <c r="S40" s="7"/>
      <c r="T40" s="7"/>
      <c r="U40" s="7"/>
      <c r="V40" s="7"/>
      <c r="W40" s="7"/>
      <c r="X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U40" s="7"/>
      <c r="AV40" s="7"/>
      <c r="AW40" s="7"/>
      <c r="AX40" s="7"/>
      <c r="AY40" s="7"/>
      <c r="AZ40" s="7"/>
      <c r="BA40" s="7"/>
      <c r="BB40" s="7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A43" s="24" t="s">
        <v>33</v>
      </c>
      <c r="B43" s="24"/>
      <c r="C43" s="24"/>
      <c r="D43" s="25"/>
      <c r="E43" s="26"/>
      <c r="F43" s="25"/>
      <c r="G43" s="25"/>
      <c r="H43" s="26"/>
      <c r="I43" s="25"/>
      <c r="J43" s="25"/>
      <c r="K43" s="25"/>
      <c r="L43" s="25"/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  <row r="1111" spans="15:55" x14ac:dyDescent="0.2">
      <c r="O1111" s="12"/>
      <c r="P1111" s="8"/>
      <c r="Q1111" s="7"/>
      <c r="R1111" s="7"/>
      <c r="S1111" s="7"/>
      <c r="T1111" s="7"/>
      <c r="U1111" s="7"/>
      <c r="V1111" s="7"/>
      <c r="AE1111" s="12"/>
      <c r="AF1111" s="8"/>
      <c r="AG1111" s="7"/>
      <c r="AH1111" s="7"/>
      <c r="AI1111" s="7"/>
      <c r="AJ1111" s="7"/>
      <c r="AK1111" s="7"/>
      <c r="AL1111" s="7"/>
      <c r="AU1111" s="12"/>
      <c r="AV1111" s="8"/>
      <c r="AW1111" s="7"/>
      <c r="AX1111" s="7"/>
      <c r="AY1111" s="7"/>
      <c r="AZ1111" s="7"/>
      <c r="BA1111" s="7"/>
      <c r="BB1111" s="7"/>
      <c r="BC1111" s="12"/>
    </row>
    <row r="1112" spans="15:55" x14ac:dyDescent="0.2">
      <c r="O1112" s="12"/>
      <c r="P1112" s="8"/>
      <c r="Q1112" s="7"/>
      <c r="R1112" s="7"/>
      <c r="S1112" s="7"/>
      <c r="T1112" s="7"/>
      <c r="U1112" s="7"/>
      <c r="V1112" s="7"/>
      <c r="AE1112" s="12"/>
      <c r="AF1112" s="8"/>
      <c r="AG1112" s="7"/>
      <c r="AH1112" s="7"/>
      <c r="AI1112" s="7"/>
      <c r="AJ1112" s="7"/>
      <c r="AK1112" s="7"/>
      <c r="AL1112" s="7"/>
      <c r="AU1112" s="12"/>
      <c r="AV1112" s="8"/>
      <c r="AW1112" s="7"/>
      <c r="AX1112" s="7"/>
      <c r="AY1112" s="7"/>
      <c r="AZ1112" s="7"/>
      <c r="BA1112" s="7"/>
      <c r="BB1112" s="7"/>
      <c r="BC1112" s="12"/>
    </row>
    <row r="1113" spans="15:55" x14ac:dyDescent="0.2">
      <c r="O1113" s="12"/>
      <c r="P1113" s="8"/>
      <c r="Q1113" s="7"/>
      <c r="R1113" s="7"/>
      <c r="S1113" s="7"/>
      <c r="T1113" s="7"/>
      <c r="U1113" s="7"/>
      <c r="V1113" s="7"/>
      <c r="AE1113" s="12"/>
      <c r="AF1113" s="8"/>
      <c r="AG1113" s="7"/>
      <c r="AH1113" s="7"/>
      <c r="AI1113" s="7"/>
      <c r="AJ1113" s="7"/>
      <c r="AK1113" s="7"/>
      <c r="AL1113" s="7"/>
      <c r="AU1113" s="12"/>
      <c r="AV1113" s="8"/>
      <c r="AW1113" s="7"/>
      <c r="AX1113" s="7"/>
      <c r="AY1113" s="7"/>
      <c r="AZ1113" s="7"/>
      <c r="BA1113" s="7"/>
      <c r="BB1113" s="7"/>
      <c r="BC1113" s="12"/>
    </row>
    <row r="1114" spans="15:55" x14ac:dyDescent="0.2">
      <c r="O1114" s="12"/>
      <c r="P1114" s="8"/>
      <c r="Q1114" s="7"/>
      <c r="R1114" s="7"/>
      <c r="S1114" s="7"/>
      <c r="T1114" s="7"/>
      <c r="U1114" s="7"/>
      <c r="V1114" s="7"/>
      <c r="AE1114" s="12"/>
      <c r="AF1114" s="8"/>
      <c r="AG1114" s="7"/>
      <c r="AH1114" s="7"/>
      <c r="AI1114" s="7"/>
      <c r="AJ1114" s="7"/>
      <c r="AK1114" s="7"/>
      <c r="AL1114" s="7"/>
      <c r="AU1114" s="12"/>
      <c r="AV1114" s="8"/>
      <c r="AW1114" s="7"/>
      <c r="AX1114" s="7"/>
      <c r="AY1114" s="7"/>
      <c r="AZ1114" s="7"/>
      <c r="BA1114" s="7"/>
      <c r="BB1114" s="7"/>
      <c r="BC1114" s="12"/>
    </row>
    <row r="1115" spans="15:55" x14ac:dyDescent="0.2">
      <c r="O1115" s="12"/>
      <c r="P1115" s="8"/>
      <c r="Q1115" s="7"/>
      <c r="R1115" s="7"/>
      <c r="S1115" s="7"/>
      <c r="T1115" s="7"/>
      <c r="U1115" s="7"/>
      <c r="V1115" s="7"/>
      <c r="AE1115" s="12"/>
      <c r="AF1115" s="8"/>
      <c r="AG1115" s="7"/>
      <c r="AH1115" s="7"/>
      <c r="AI1115" s="7"/>
      <c r="AJ1115" s="7"/>
      <c r="AK1115" s="7"/>
      <c r="AL1115" s="7"/>
      <c r="AU1115" s="12"/>
      <c r="AV1115" s="8"/>
      <c r="AW1115" s="7"/>
      <c r="AX1115" s="7"/>
      <c r="AY1115" s="7"/>
      <c r="AZ1115" s="7"/>
      <c r="BA1115" s="7"/>
      <c r="BB1115" s="7"/>
      <c r="BC1115" s="12"/>
    </row>
    <row r="1116" spans="15:55" x14ac:dyDescent="0.2">
      <c r="O1116" s="12"/>
      <c r="P1116" s="8"/>
      <c r="Q1116" s="7"/>
      <c r="R1116" s="7"/>
      <c r="S1116" s="7"/>
      <c r="T1116" s="7"/>
      <c r="U1116" s="7"/>
      <c r="V1116" s="7"/>
      <c r="AE1116" s="12"/>
      <c r="AF1116" s="8"/>
      <c r="AG1116" s="7"/>
      <c r="AH1116" s="7"/>
      <c r="AI1116" s="7"/>
      <c r="AJ1116" s="7"/>
      <c r="AK1116" s="7"/>
      <c r="AL1116" s="7"/>
      <c r="AU1116" s="12"/>
      <c r="AV1116" s="8"/>
      <c r="AW1116" s="7"/>
      <c r="AX1116" s="7"/>
      <c r="AY1116" s="7"/>
      <c r="AZ1116" s="7"/>
      <c r="BA1116" s="7"/>
      <c r="BB1116" s="7"/>
      <c r="BC1116" s="12"/>
    </row>
    <row r="1117" spans="15:55" x14ac:dyDescent="0.2">
      <c r="O1117" s="12"/>
      <c r="P1117" s="8"/>
      <c r="Q1117" s="7"/>
      <c r="R1117" s="7"/>
      <c r="S1117" s="7"/>
      <c r="T1117" s="7"/>
      <c r="U1117" s="7"/>
      <c r="V1117" s="7"/>
      <c r="AE1117" s="12"/>
      <c r="AF1117" s="8"/>
      <c r="AG1117" s="7"/>
      <c r="AH1117" s="7"/>
      <c r="AI1117" s="7"/>
      <c r="AJ1117" s="7"/>
      <c r="AK1117" s="7"/>
      <c r="AL1117" s="7"/>
      <c r="AU1117" s="12"/>
      <c r="AV1117" s="8"/>
      <c r="AW1117" s="7"/>
      <c r="AX1117" s="7"/>
      <c r="AY1117" s="7"/>
      <c r="AZ1117" s="7"/>
      <c r="BA1117" s="7"/>
      <c r="BB1117" s="7"/>
      <c r="BC1117" s="12"/>
    </row>
  </sheetData>
  <protectedRanges>
    <protectedRange sqref="A29 A35" name="Bereich6"/>
    <protectedRange sqref="A23" name="Bereich5"/>
    <protectedRange sqref="A17" name="Bereich4"/>
    <protectedRange sqref="A11" name="Bereich3"/>
    <protectedRange sqref="A5" name="Bereich2"/>
    <protectedRange sqref="B5:E5 B11:E11 B17:E17 B23:E23 B29:E29 B35:E35" name="Bereich1_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selection activeCell="A2" sqref="A2"/>
    </sheetView>
  </sheetViews>
  <sheetFormatPr baseColWidth="10" defaultRowHeight="12.75" x14ac:dyDescent="0.2"/>
  <sheetData>
    <row r="1" spans="1:4" x14ac:dyDescent="0.2">
      <c r="A1" t="s">
        <v>1</v>
      </c>
      <c r="B1" t="s">
        <v>11</v>
      </c>
    </row>
    <row r="2" spans="1:4" x14ac:dyDescent="0.2">
      <c r="A2" s="2">
        <v>17</v>
      </c>
      <c r="B2" s="3">
        <v>0</v>
      </c>
      <c r="D2" t="s">
        <v>17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18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22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23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26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27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38</v>
      </c>
      <c r="B41" s="78">
        <f>29400</f>
        <v>29400</v>
      </c>
      <c r="C41" t="s">
        <v>41</v>
      </c>
    </row>
    <row r="42" spans="1:4" x14ac:dyDescent="0.2">
      <c r="A42" s="79" t="s">
        <v>39</v>
      </c>
      <c r="B42" s="78">
        <f>7/8*B41</f>
        <v>25725</v>
      </c>
      <c r="C42" t="s">
        <v>42</v>
      </c>
    </row>
    <row r="43" spans="1:4" x14ac:dyDescent="0.2">
      <c r="A43" t="s">
        <v>40</v>
      </c>
      <c r="B43" s="78">
        <v>3675</v>
      </c>
      <c r="C43" t="s">
        <v>43</v>
      </c>
    </row>
    <row r="44" spans="1:4" x14ac:dyDescent="0.2">
      <c r="A44" t="s">
        <v>45</v>
      </c>
      <c r="B44" s="78">
        <v>22050</v>
      </c>
      <c r="C44" t="s">
        <v>44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D41981A3273749B6F04FAEE108B639" ma:contentTypeVersion="2" ma:contentTypeDescription="Ein neues Dokument erstellen." ma:contentTypeScope="" ma:versionID="1fe219d75577388838748431a4ac8fd1">
  <xsd:schema xmlns:xsd="http://www.w3.org/2001/XMLSchema" xmlns:xs="http://www.w3.org/2001/XMLSchema" xmlns:p="http://schemas.microsoft.com/office/2006/metadata/properties" xmlns:ns3="e40fd724-62bf-488d-af38-212db40ca255" targetNamespace="http://schemas.microsoft.com/office/2006/metadata/properties" ma:root="true" ma:fieldsID="2408644edf3eb1f03172855e40d3dde2" ns3:_="">
    <xsd:import namespace="e40fd724-62bf-488d-af38-212db40ca2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fd724-62bf-488d-af38-212db40ca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59999-483A-4EBF-A1A6-D714690599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9B0E65-5445-4553-9BCF-6C9FD5BF398A}">
  <ds:schemaRefs>
    <ds:schemaRef ds:uri="e40fd724-62bf-488d-af38-212db40ca255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59BE743-077D-4B85-B009-1F0C2D31A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fd724-62bf-488d-af38-212db40ca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2023-11-29T10:33:41Z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0x0101004ED41981A3273749B6F04FAEE108B639</vt:lpwstr>
  </property>
</Properties>
</file>